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ATKUL SEMESTER 5\PLAK\"/>
    </mc:Choice>
  </mc:AlternateContent>
  <bookViews>
    <workbookView xWindow="0" yWindow="0" windowWidth="20490" windowHeight="7365" tabRatio="938" firstSheet="2" activeTab="10"/>
  </bookViews>
  <sheets>
    <sheet name="MATER AKUN" sheetId="1" r:id="rId1"/>
    <sheet name="JURNAL UMUM" sheetId="2" r:id="rId2"/>
    <sheet name="BB PIUTANG" sheetId="4" r:id="rId3"/>
    <sheet name="BB HUTANG" sheetId="5" r:id="rId4"/>
    <sheet name="BB PERSEDIAAN" sheetId="6" r:id="rId5"/>
    <sheet name="BUKU BESAR" sheetId="12" r:id="rId6"/>
    <sheet name="NERACA SALDO" sheetId="7" r:id="rId7"/>
    <sheet name="LAP. LABA RUGI " sheetId="8" r:id="rId8"/>
    <sheet name="LAP. PERUBAHAN LABA" sheetId="13" r:id="rId9"/>
    <sheet name="NERACA" sheetId="14" r:id="rId10"/>
    <sheet name="NERACA SALDO PENUTUP" sheetId="15" r:id="rId11"/>
  </sheets>
  <externalReferences>
    <externalReference r:id="rId12"/>
    <externalReference r:id="rId13"/>
  </externalReferences>
  <calcPr calcId="152511"/>
  <fileRecoveryPr repairLoad="1"/>
</workbook>
</file>

<file path=xl/calcChain.xml><?xml version="1.0" encoding="utf-8"?>
<calcChain xmlns="http://schemas.openxmlformats.org/spreadsheetml/2006/main">
  <c r="F32" i="15" l="1"/>
  <c r="C32" i="15" l="1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B9" i="15"/>
  <c r="B8" i="15"/>
  <c r="B7" i="15"/>
  <c r="E45" i="14"/>
  <c r="E44" i="14"/>
  <c r="E39" i="14"/>
  <c r="E35" i="14"/>
  <c r="E34" i="14"/>
  <c r="E33" i="14"/>
  <c r="E32" i="14"/>
  <c r="E31" i="14"/>
  <c r="E30" i="14"/>
  <c r="E24" i="14"/>
  <c r="E23" i="14"/>
  <c r="E22" i="14"/>
  <c r="E21" i="14"/>
  <c r="E17" i="14"/>
  <c r="E16" i="14"/>
  <c r="E15" i="14"/>
  <c r="E14" i="14"/>
  <c r="E13" i="14"/>
  <c r="E12" i="14"/>
  <c r="E11" i="14"/>
  <c r="E10" i="14"/>
  <c r="E9" i="14"/>
  <c r="E8" i="14"/>
  <c r="D7" i="13"/>
  <c r="D42" i="8"/>
  <c r="D41" i="8"/>
  <c r="D37" i="8"/>
  <c r="D36" i="8"/>
  <c r="D30" i="8"/>
  <c r="D29" i="8"/>
  <c r="D28" i="8"/>
  <c r="D27" i="8"/>
  <c r="D26" i="8"/>
  <c r="D25" i="8"/>
  <c r="D24" i="8"/>
  <c r="D23" i="8"/>
  <c r="D22" i="8"/>
  <c r="D21" i="8"/>
  <c r="D20" i="8"/>
  <c r="D19" i="8"/>
  <c r="D14" i="8"/>
  <c r="E9" i="8"/>
  <c r="E8" i="8"/>
  <c r="D7" i="8"/>
  <c r="E58" i="7"/>
  <c r="D58" i="7"/>
  <c r="F56" i="7"/>
  <c r="E56" i="7"/>
  <c r="D56" i="7"/>
  <c r="B56" i="7"/>
  <c r="E55" i="7"/>
  <c r="D55" i="7"/>
  <c r="B55" i="7"/>
  <c r="E54" i="7"/>
  <c r="D54" i="7"/>
  <c r="B54" i="7"/>
  <c r="E53" i="7"/>
  <c r="D53" i="7"/>
  <c r="B53" i="7"/>
  <c r="E52" i="7"/>
  <c r="D52" i="7"/>
  <c r="B52" i="7"/>
  <c r="E51" i="7"/>
  <c r="D51" i="7"/>
  <c r="B51" i="7"/>
  <c r="E50" i="7"/>
  <c r="D50" i="7"/>
  <c r="B50" i="7"/>
  <c r="E49" i="7"/>
  <c r="D49" i="7"/>
  <c r="B49" i="7"/>
  <c r="E48" i="7"/>
  <c r="D48" i="7"/>
  <c r="B48" i="7"/>
  <c r="E47" i="7"/>
  <c r="D47" i="7"/>
  <c r="B47" i="7"/>
  <c r="E46" i="7"/>
  <c r="D46" i="7"/>
  <c r="B46" i="7"/>
  <c r="E45" i="7"/>
  <c r="D45" i="7"/>
  <c r="B45" i="7"/>
  <c r="E44" i="7"/>
  <c r="D44" i="7"/>
  <c r="B44" i="7"/>
  <c r="G43" i="7"/>
  <c r="E43" i="7"/>
  <c r="D43" i="7"/>
  <c r="B43" i="7"/>
  <c r="E42" i="7"/>
  <c r="D42" i="7"/>
  <c r="B42" i="7"/>
  <c r="E41" i="7"/>
  <c r="D41" i="7"/>
  <c r="B41" i="7"/>
  <c r="F40" i="7"/>
  <c r="E40" i="7"/>
  <c r="D40" i="7"/>
  <c r="B40" i="7"/>
  <c r="G39" i="7"/>
  <c r="E39" i="7"/>
  <c r="D39" i="7"/>
  <c r="B39" i="7"/>
  <c r="E38" i="7"/>
  <c r="D38" i="7"/>
  <c r="B38" i="7"/>
  <c r="E37" i="7"/>
  <c r="D37" i="7"/>
  <c r="B37" i="7"/>
  <c r="F36" i="7"/>
  <c r="E36" i="7"/>
  <c r="D36" i="7"/>
  <c r="B36" i="7"/>
  <c r="G35" i="7"/>
  <c r="E35" i="7"/>
  <c r="D35" i="7"/>
  <c r="B35" i="7"/>
  <c r="E34" i="7"/>
  <c r="D34" i="7"/>
  <c r="B34" i="7"/>
  <c r="E33" i="7"/>
  <c r="D33" i="7"/>
  <c r="B33" i="7"/>
  <c r="F32" i="7"/>
  <c r="E32" i="7"/>
  <c r="D32" i="7"/>
  <c r="B32" i="7"/>
  <c r="G31" i="7"/>
  <c r="E31" i="7"/>
  <c r="D31" i="7"/>
  <c r="B31" i="7"/>
  <c r="E30" i="7"/>
  <c r="D30" i="7"/>
  <c r="B30" i="7"/>
  <c r="E29" i="7"/>
  <c r="D29" i="7"/>
  <c r="B29" i="7"/>
  <c r="F28" i="7"/>
  <c r="E28" i="7"/>
  <c r="D28" i="7"/>
  <c r="B28" i="7"/>
  <c r="G27" i="7"/>
  <c r="E27" i="7"/>
  <c r="D27" i="7"/>
  <c r="B27" i="7"/>
  <c r="E26" i="7"/>
  <c r="D26" i="7"/>
  <c r="B26" i="7"/>
  <c r="E25" i="7"/>
  <c r="D25" i="7"/>
  <c r="B25" i="7"/>
  <c r="F24" i="7"/>
  <c r="E24" i="7"/>
  <c r="D24" i="7"/>
  <c r="B24" i="7"/>
  <c r="G23" i="7"/>
  <c r="E23" i="7"/>
  <c r="D23" i="7"/>
  <c r="B23" i="7"/>
  <c r="E22" i="7"/>
  <c r="D22" i="7"/>
  <c r="B22" i="7"/>
  <c r="E21" i="7"/>
  <c r="D21" i="7"/>
  <c r="B21" i="7"/>
  <c r="F20" i="7"/>
  <c r="E20" i="7"/>
  <c r="D20" i="7"/>
  <c r="B20" i="7"/>
  <c r="G19" i="7"/>
  <c r="E19" i="7"/>
  <c r="D19" i="7"/>
  <c r="B19" i="7"/>
  <c r="E18" i="7"/>
  <c r="D18" i="7"/>
  <c r="B18" i="7"/>
  <c r="F17" i="7"/>
  <c r="E17" i="7"/>
  <c r="D17" i="7"/>
  <c r="B17" i="7"/>
  <c r="G16" i="7"/>
  <c r="E16" i="7"/>
  <c r="D16" i="7"/>
  <c r="B16" i="7"/>
  <c r="E15" i="7"/>
  <c r="D15" i="7"/>
  <c r="B15" i="7"/>
  <c r="F14" i="7"/>
  <c r="E14" i="7"/>
  <c r="D14" i="7"/>
  <c r="B14" i="7"/>
  <c r="G13" i="7"/>
  <c r="E13" i="7"/>
  <c r="D13" i="7"/>
  <c r="B13" i="7"/>
  <c r="E12" i="7"/>
  <c r="D12" i="7"/>
  <c r="B12" i="7"/>
  <c r="E11" i="7"/>
  <c r="D11" i="7"/>
  <c r="B11" i="7"/>
  <c r="F10" i="7"/>
  <c r="E10" i="7"/>
  <c r="D10" i="7"/>
  <c r="B10" i="7"/>
  <c r="E422" i="12"/>
  <c r="F421" i="12"/>
  <c r="B418" i="12"/>
  <c r="E413" i="12"/>
  <c r="F412" i="12"/>
  <c r="B409" i="12"/>
  <c r="E404" i="12"/>
  <c r="G404" i="12" s="1"/>
  <c r="D404" i="12"/>
  <c r="G403" i="12"/>
  <c r="B400" i="12"/>
  <c r="E395" i="12"/>
  <c r="G395" i="12" s="1"/>
  <c r="D395" i="12"/>
  <c r="G394" i="12"/>
  <c r="B391" i="12"/>
  <c r="E386" i="12"/>
  <c r="D386" i="12"/>
  <c r="F386" i="12" s="1"/>
  <c r="F385" i="12"/>
  <c r="B382" i="12"/>
  <c r="E377" i="12"/>
  <c r="D377" i="12"/>
  <c r="F377" i="12" s="1"/>
  <c r="F376" i="12"/>
  <c r="B373" i="12"/>
  <c r="E368" i="12"/>
  <c r="D368" i="12"/>
  <c r="F368" i="12" s="1"/>
  <c r="F367" i="12"/>
  <c r="B364" i="12"/>
  <c r="E359" i="12"/>
  <c r="D359" i="12"/>
  <c r="F359" i="12" s="1"/>
  <c r="F358" i="12"/>
  <c r="B355" i="12"/>
  <c r="E350" i="12"/>
  <c r="D350" i="12"/>
  <c r="F350" i="12" s="1"/>
  <c r="F349" i="12"/>
  <c r="B346" i="12"/>
  <c r="E341" i="12"/>
  <c r="F340" i="12"/>
  <c r="B337" i="12"/>
  <c r="E332" i="12"/>
  <c r="F331" i="12"/>
  <c r="B328" i="12"/>
  <c r="E323" i="12"/>
  <c r="D323" i="12"/>
  <c r="F323" i="12" s="1"/>
  <c r="F322" i="12"/>
  <c r="B319" i="12"/>
  <c r="E314" i="12"/>
  <c r="D314" i="12"/>
  <c r="F314" i="12" s="1"/>
  <c r="F313" i="12"/>
  <c r="B310" i="12"/>
  <c r="E305" i="12"/>
  <c r="F304" i="12"/>
  <c r="B301" i="12"/>
  <c r="E296" i="12"/>
  <c r="D296" i="12"/>
  <c r="F296" i="12" s="1"/>
  <c r="F295" i="12"/>
  <c r="B292" i="12"/>
  <c r="E287" i="12"/>
  <c r="D287" i="12"/>
  <c r="F287" i="12" s="1"/>
  <c r="F286" i="12"/>
  <c r="B283" i="12"/>
  <c r="E278" i="12"/>
  <c r="D278" i="12"/>
  <c r="F278" i="12" s="1"/>
  <c r="F277" i="12"/>
  <c r="B274" i="12"/>
  <c r="E269" i="12"/>
  <c r="D269" i="12"/>
  <c r="F269" i="12" s="1"/>
  <c r="F268" i="12"/>
  <c r="B265" i="12"/>
  <c r="E260" i="12"/>
  <c r="D260" i="12"/>
  <c r="F260" i="12" s="1"/>
  <c r="F259" i="12"/>
  <c r="B256" i="12"/>
  <c r="D251" i="12"/>
  <c r="G250" i="12"/>
  <c r="B247" i="12"/>
  <c r="G241" i="12"/>
  <c r="B238" i="12"/>
  <c r="E233" i="12"/>
  <c r="D233" i="12"/>
  <c r="G232" i="12"/>
  <c r="B229" i="12"/>
  <c r="E224" i="12"/>
  <c r="D224" i="12"/>
  <c r="G223" i="12"/>
  <c r="B220" i="12"/>
  <c r="E215" i="12"/>
  <c r="D215" i="12"/>
  <c r="G214" i="12"/>
  <c r="B211" i="12"/>
  <c r="E206" i="12"/>
  <c r="D206" i="12"/>
  <c r="G205" i="12"/>
  <c r="B202" i="12"/>
  <c r="E197" i="12"/>
  <c r="D197" i="12"/>
  <c r="G196" i="12"/>
  <c r="B193" i="12"/>
  <c r="E188" i="12"/>
  <c r="D188" i="12"/>
  <c r="G187" i="12"/>
  <c r="B184" i="12"/>
  <c r="E179" i="12"/>
  <c r="D179" i="12"/>
  <c r="G178" i="12"/>
  <c r="B175" i="12"/>
  <c r="D170" i="12"/>
  <c r="G169" i="12"/>
  <c r="B166" i="12"/>
  <c r="E161" i="12"/>
  <c r="G161" i="12" s="1"/>
  <c r="D161" i="12"/>
  <c r="G160" i="12"/>
  <c r="B157" i="12"/>
  <c r="E152" i="12"/>
  <c r="D152" i="12"/>
  <c r="G152" i="12" s="1"/>
  <c r="G151" i="12"/>
  <c r="B148" i="12"/>
  <c r="D143" i="12"/>
  <c r="G143" i="12" s="1"/>
  <c r="G142" i="12"/>
  <c r="B138" i="12"/>
  <c r="E133" i="12"/>
  <c r="D133" i="12"/>
  <c r="F132" i="12"/>
  <c r="B128" i="12"/>
  <c r="D123" i="12"/>
  <c r="G122" i="12"/>
  <c r="B118" i="12"/>
  <c r="E113" i="12"/>
  <c r="D113" i="12"/>
  <c r="F112" i="12"/>
  <c r="B108" i="12"/>
  <c r="E103" i="12"/>
  <c r="D103" i="12"/>
  <c r="F102" i="12"/>
  <c r="B98" i="12"/>
  <c r="E93" i="12"/>
  <c r="D93" i="12"/>
  <c r="F92" i="12"/>
  <c r="B88" i="12"/>
  <c r="F82" i="12"/>
  <c r="B78" i="12"/>
  <c r="E73" i="12"/>
  <c r="D73" i="12"/>
  <c r="F72" i="12"/>
  <c r="B68" i="12"/>
  <c r="D63" i="12"/>
  <c r="G62" i="12"/>
  <c r="B58" i="12"/>
  <c r="E53" i="12"/>
  <c r="D53" i="12"/>
  <c r="F52" i="12"/>
  <c r="B48" i="12"/>
  <c r="D43" i="12"/>
  <c r="F42" i="12"/>
  <c r="B38" i="12"/>
  <c r="F32" i="12"/>
  <c r="B28" i="12"/>
  <c r="E23" i="12"/>
  <c r="D23" i="12"/>
  <c r="F22" i="12"/>
  <c r="B18" i="12"/>
  <c r="F12" i="12"/>
  <c r="B8" i="12"/>
  <c r="K88" i="6"/>
  <c r="J88" i="6"/>
  <c r="I88" i="6"/>
  <c r="H88" i="6"/>
  <c r="G88" i="6"/>
  <c r="K87" i="6"/>
  <c r="J87" i="6"/>
  <c r="I87" i="6"/>
  <c r="C84" i="6"/>
  <c r="K80" i="6"/>
  <c r="J80" i="6"/>
  <c r="I80" i="6"/>
  <c r="H80" i="6"/>
  <c r="G80" i="6"/>
  <c r="K79" i="6"/>
  <c r="J79" i="6"/>
  <c r="I79" i="6"/>
  <c r="H79" i="6"/>
  <c r="G79" i="6"/>
  <c r="K78" i="6"/>
  <c r="J78" i="6"/>
  <c r="I78" i="6"/>
  <c r="C75" i="6"/>
  <c r="K71" i="6"/>
  <c r="J71" i="6"/>
  <c r="I71" i="6"/>
  <c r="H71" i="6"/>
  <c r="G71" i="6"/>
  <c r="K70" i="6"/>
  <c r="J70" i="6"/>
  <c r="I70" i="6"/>
  <c r="H70" i="6"/>
  <c r="G70" i="6"/>
  <c r="K69" i="6"/>
  <c r="J69" i="6"/>
  <c r="I69" i="6"/>
  <c r="C66" i="6"/>
  <c r="K62" i="6"/>
  <c r="J62" i="6"/>
  <c r="I62" i="6"/>
  <c r="H62" i="6"/>
  <c r="G62" i="6"/>
  <c r="K61" i="6"/>
  <c r="J61" i="6"/>
  <c r="I61" i="6"/>
  <c r="C58" i="6"/>
  <c r="K53" i="6"/>
  <c r="J53" i="6"/>
  <c r="I53" i="6"/>
  <c r="H53" i="6"/>
  <c r="G53" i="6"/>
  <c r="K52" i="6"/>
  <c r="J52" i="6"/>
  <c r="I52" i="6"/>
  <c r="C49" i="6"/>
  <c r="K44" i="6"/>
  <c r="J44" i="6"/>
  <c r="I44" i="6"/>
  <c r="C41" i="6"/>
  <c r="K37" i="6"/>
  <c r="J37" i="6"/>
  <c r="I37" i="6"/>
  <c r="H37" i="6"/>
  <c r="G37" i="6"/>
  <c r="K36" i="6"/>
  <c r="J36" i="6"/>
  <c r="I36" i="6"/>
  <c r="H36" i="6"/>
  <c r="G36" i="6"/>
  <c r="K35" i="6"/>
  <c r="J35" i="6"/>
  <c r="I35" i="6"/>
  <c r="H35" i="6"/>
  <c r="G35" i="6"/>
  <c r="K34" i="6"/>
  <c r="J34" i="6"/>
  <c r="I34" i="6"/>
  <c r="C31" i="6"/>
  <c r="K27" i="6"/>
  <c r="J27" i="6"/>
  <c r="I27" i="6"/>
  <c r="H27" i="6"/>
  <c r="G27" i="6"/>
  <c r="K26" i="6"/>
  <c r="J26" i="6"/>
  <c r="I26" i="6"/>
  <c r="H26" i="6"/>
  <c r="G26" i="6"/>
  <c r="K25" i="6"/>
  <c r="J25" i="6"/>
  <c r="I25" i="6"/>
  <c r="E25" i="6"/>
  <c r="D25" i="6"/>
  <c r="K24" i="6"/>
  <c r="J24" i="6"/>
  <c r="I24" i="6"/>
  <c r="E24" i="6"/>
  <c r="K23" i="6"/>
  <c r="J23" i="6"/>
  <c r="I23" i="6"/>
  <c r="H23" i="6"/>
  <c r="G23" i="6"/>
  <c r="K22" i="6"/>
  <c r="J22" i="6"/>
  <c r="I22" i="6"/>
  <c r="C19" i="6"/>
  <c r="K14" i="6"/>
  <c r="J14" i="6"/>
  <c r="I14" i="6"/>
  <c r="H14" i="6"/>
  <c r="G14" i="6"/>
  <c r="K13" i="6"/>
  <c r="J13" i="6"/>
  <c r="I13" i="6"/>
  <c r="E13" i="6"/>
  <c r="K12" i="6"/>
  <c r="J12" i="6"/>
  <c r="I12" i="6"/>
  <c r="H12" i="6"/>
  <c r="G12" i="6"/>
  <c r="K11" i="6"/>
  <c r="J11" i="6"/>
  <c r="I11" i="6"/>
  <c r="C8" i="6"/>
  <c r="E30" i="5"/>
  <c r="D30" i="5"/>
  <c r="G29" i="5"/>
  <c r="C26" i="5"/>
  <c r="E21" i="5"/>
  <c r="D21" i="5"/>
  <c r="G20" i="5"/>
  <c r="C17" i="5"/>
  <c r="E12" i="5"/>
  <c r="D12" i="5"/>
  <c r="G11" i="5"/>
  <c r="C8" i="5"/>
  <c r="E48" i="4"/>
  <c r="D48" i="4"/>
  <c r="F47" i="4"/>
  <c r="C44" i="4"/>
  <c r="E39" i="4"/>
  <c r="D39" i="4"/>
  <c r="F38" i="4"/>
  <c r="C35" i="4"/>
  <c r="E30" i="4"/>
  <c r="D30" i="4"/>
  <c r="F29" i="4"/>
  <c r="C26" i="4"/>
  <c r="E21" i="4"/>
  <c r="D21" i="4"/>
  <c r="F20" i="4"/>
  <c r="C17" i="4"/>
  <c r="E12" i="4"/>
  <c r="D12" i="4"/>
  <c r="F11" i="4"/>
  <c r="C8" i="4"/>
  <c r="F122" i="2"/>
  <c r="G120" i="2"/>
  <c r="D120" i="2"/>
  <c r="D119" i="2"/>
  <c r="G118" i="2"/>
  <c r="D118" i="2"/>
  <c r="D117" i="2"/>
  <c r="G116" i="2"/>
  <c r="F55" i="7" s="1"/>
  <c r="D116" i="2"/>
  <c r="D115" i="2"/>
  <c r="G114" i="2"/>
  <c r="D114" i="2"/>
  <c r="D113" i="2"/>
  <c r="G112" i="2"/>
  <c r="D112" i="2"/>
  <c r="D111" i="2"/>
  <c r="G110" i="2"/>
  <c r="D110" i="2"/>
  <c r="D109" i="2"/>
  <c r="D108" i="2"/>
  <c r="D107" i="2"/>
  <c r="F106" i="2"/>
  <c r="D106" i="2"/>
  <c r="G105" i="2"/>
  <c r="D105" i="2"/>
  <c r="D104" i="2"/>
  <c r="N103" i="2"/>
  <c r="D103" i="2"/>
  <c r="N102" i="2"/>
  <c r="D102" i="2"/>
  <c r="F101" i="2"/>
  <c r="D101" i="2"/>
  <c r="D100" i="2"/>
  <c r="D99" i="2"/>
  <c r="D98" i="2"/>
  <c r="F97" i="2"/>
  <c r="D97" i="2"/>
  <c r="D96" i="2"/>
  <c r="D95" i="2"/>
  <c r="D94" i="2"/>
  <c r="D93" i="2"/>
  <c r="G92" i="2"/>
  <c r="D92" i="2"/>
  <c r="D91" i="2"/>
  <c r="D90" i="2"/>
  <c r="D89" i="2"/>
  <c r="D88" i="2"/>
  <c r="D87" i="2"/>
  <c r="D86" i="2"/>
  <c r="F85" i="2"/>
  <c r="D85" i="2"/>
  <c r="G84" i="2"/>
  <c r="D84" i="2"/>
  <c r="D83" i="2"/>
  <c r="N82" i="2"/>
  <c r="D82" i="2"/>
  <c r="N81" i="2"/>
  <c r="D81" i="2"/>
  <c r="N80" i="2"/>
  <c r="D80" i="2"/>
  <c r="F79" i="2"/>
  <c r="D79" i="2"/>
  <c r="D78" i="2"/>
  <c r="D77" i="2"/>
  <c r="D76" i="2"/>
  <c r="D75" i="2"/>
  <c r="G74" i="2"/>
  <c r="D74" i="2"/>
  <c r="N73" i="2"/>
  <c r="D73" i="2"/>
  <c r="G72" i="2"/>
  <c r="D72" i="2"/>
  <c r="D71" i="2"/>
  <c r="D70" i="2"/>
  <c r="N69" i="2"/>
  <c r="D69" i="2"/>
  <c r="N68" i="2"/>
  <c r="D68" i="2"/>
  <c r="N67" i="2"/>
  <c r="D67" i="2"/>
  <c r="F66" i="2"/>
  <c r="D66" i="2"/>
  <c r="D65" i="2"/>
  <c r="D64" i="2"/>
  <c r="D63" i="2"/>
  <c r="D62" i="2"/>
  <c r="N61" i="2"/>
  <c r="D61" i="2"/>
  <c r="N60" i="2"/>
  <c r="D60" i="2"/>
  <c r="N59" i="2"/>
  <c r="D59" i="2"/>
  <c r="F58" i="2"/>
  <c r="D58" i="2"/>
  <c r="D57" i="2"/>
  <c r="D56" i="2"/>
  <c r="F55" i="2"/>
  <c r="D55" i="2"/>
  <c r="G54" i="2"/>
  <c r="D54" i="2"/>
  <c r="D53" i="2"/>
  <c r="G52" i="2"/>
  <c r="D52" i="2"/>
  <c r="D51" i="2"/>
  <c r="D50" i="2"/>
  <c r="G49" i="2"/>
  <c r="D49" i="2"/>
  <c r="D48" i="2"/>
  <c r="G47" i="2"/>
  <c r="D47" i="2"/>
  <c r="N46" i="2"/>
  <c r="D46" i="2"/>
  <c r="G45" i="2"/>
  <c r="D45" i="2"/>
  <c r="D44" i="2"/>
  <c r="D43" i="2"/>
  <c r="D42" i="2"/>
  <c r="D41" i="2"/>
  <c r="D40" i="2"/>
  <c r="D39" i="2"/>
  <c r="G38" i="2"/>
  <c r="D38" i="2"/>
  <c r="D37" i="2"/>
  <c r="D36" i="2"/>
  <c r="G35" i="2"/>
  <c r="D35" i="2"/>
  <c r="D34" i="2"/>
  <c r="D33" i="2"/>
  <c r="G32" i="2"/>
  <c r="D32" i="2"/>
  <c r="D31" i="2"/>
  <c r="D30" i="2"/>
  <c r="D29" i="2"/>
  <c r="F28" i="2"/>
  <c r="D28" i="2"/>
  <c r="D27" i="2"/>
  <c r="D26" i="2"/>
  <c r="D25" i="2"/>
  <c r="K24" i="2"/>
  <c r="D24" i="2"/>
  <c r="K23" i="2"/>
  <c r="D23" i="2"/>
  <c r="G22" i="2"/>
  <c r="D22" i="2"/>
  <c r="D21" i="2"/>
  <c r="D20" i="2"/>
  <c r="N19" i="2"/>
  <c r="D19" i="2"/>
  <c r="N18" i="2"/>
  <c r="D18" i="2"/>
  <c r="F17" i="2"/>
  <c r="D17" i="2"/>
  <c r="D16" i="2"/>
  <c r="D15" i="2"/>
  <c r="D14" i="2"/>
  <c r="D13" i="2"/>
  <c r="G12" i="2"/>
  <c r="D12" i="2"/>
  <c r="D11" i="2"/>
  <c r="G10" i="2"/>
  <c r="D10" i="2"/>
  <c r="D9" i="2"/>
  <c r="D72" i="1"/>
  <c r="C72" i="1"/>
  <c r="I45" i="1"/>
  <c r="N21" i="1"/>
  <c r="F44" i="7" l="1"/>
  <c r="G47" i="7"/>
  <c r="F48" i="7"/>
  <c r="G51" i="7"/>
  <c r="H51" i="7" s="1"/>
  <c r="F26" i="15" s="1"/>
  <c r="F52" i="7"/>
  <c r="G55" i="7"/>
  <c r="I55" i="7" s="1"/>
  <c r="D13" i="12"/>
  <c r="D33" i="12"/>
  <c r="D83" i="12"/>
  <c r="F93" i="12"/>
  <c r="F103" i="12"/>
  <c r="F113" i="12"/>
  <c r="F133" i="12"/>
  <c r="G179" i="12"/>
  <c r="G188" i="12"/>
  <c r="D242" i="12"/>
  <c r="D305" i="12"/>
  <c r="F305" i="12" s="1"/>
  <c r="G10" i="7"/>
  <c r="F11" i="7"/>
  <c r="G14" i="7"/>
  <c r="I14" i="7" s="1"/>
  <c r="F15" i="7"/>
  <c r="G17" i="7"/>
  <c r="F18" i="7"/>
  <c r="G20" i="7"/>
  <c r="I20" i="7" s="1"/>
  <c r="F21" i="7"/>
  <c r="G24" i="7"/>
  <c r="F25" i="7"/>
  <c r="G28" i="7"/>
  <c r="I28" i="7" s="1"/>
  <c r="F29" i="7"/>
  <c r="G32" i="7"/>
  <c r="F33" i="7"/>
  <c r="G36" i="7"/>
  <c r="H36" i="7" s="1"/>
  <c r="F37" i="7"/>
  <c r="G40" i="7"/>
  <c r="F41" i="7"/>
  <c r="G44" i="7"/>
  <c r="H44" i="7" s="1"/>
  <c r="F45" i="7"/>
  <c r="G48" i="7"/>
  <c r="F49" i="7"/>
  <c r="G52" i="7"/>
  <c r="H52" i="7" s="1"/>
  <c r="F53" i="7"/>
  <c r="G56" i="7"/>
  <c r="E43" i="12"/>
  <c r="E63" i="12"/>
  <c r="G63" i="12" s="1"/>
  <c r="E83" i="12"/>
  <c r="E123" i="12"/>
  <c r="E143" i="12"/>
  <c r="E251" i="12"/>
  <c r="G251" i="12" s="1"/>
  <c r="D332" i="12"/>
  <c r="F332" i="12" s="1"/>
  <c r="D341" i="12"/>
  <c r="F341" i="12" s="1"/>
  <c r="G11" i="7"/>
  <c r="F12" i="7"/>
  <c r="G15" i="7"/>
  <c r="I15" i="7" s="1"/>
  <c r="G18" i="7"/>
  <c r="G21" i="7"/>
  <c r="F22" i="7"/>
  <c r="G25" i="7"/>
  <c r="I25" i="7" s="1"/>
  <c r="J30" i="14" s="1"/>
  <c r="F26" i="7"/>
  <c r="G29" i="7"/>
  <c r="F30" i="7"/>
  <c r="G33" i="7"/>
  <c r="I33" i="7" s="1"/>
  <c r="J44" i="14" s="1"/>
  <c r="F34" i="7"/>
  <c r="G37" i="7"/>
  <c r="F38" i="7"/>
  <c r="G41" i="7"/>
  <c r="F42" i="7"/>
  <c r="H42" i="7" s="1"/>
  <c r="F17" i="15" s="1"/>
  <c r="G45" i="7"/>
  <c r="F46" i="7"/>
  <c r="G49" i="7"/>
  <c r="F50" i="7"/>
  <c r="G53" i="7"/>
  <c r="F54" i="7"/>
  <c r="G122" i="2"/>
  <c r="E13" i="12"/>
  <c r="F13" i="12" s="1"/>
  <c r="E33" i="12"/>
  <c r="E170" i="12"/>
  <c r="G170" i="12" s="1"/>
  <c r="E242" i="12"/>
  <c r="D413" i="12"/>
  <c r="F413" i="12" s="1"/>
  <c r="D422" i="12"/>
  <c r="F422" i="12" s="1"/>
  <c r="G12" i="7"/>
  <c r="I12" i="7" s="1"/>
  <c r="F13" i="7"/>
  <c r="H13" i="7" s="1"/>
  <c r="J10" i="14" s="1"/>
  <c r="F16" i="7"/>
  <c r="H16" i="7" s="1"/>
  <c r="F19" i="7"/>
  <c r="G22" i="7"/>
  <c r="I22" i="7" s="1"/>
  <c r="J22" i="14" s="1"/>
  <c r="F23" i="7"/>
  <c r="I23" i="7" s="1"/>
  <c r="G26" i="7"/>
  <c r="I26" i="7" s="1"/>
  <c r="J31" i="14" s="1"/>
  <c r="F27" i="7"/>
  <c r="I27" i="7" s="1"/>
  <c r="J32" i="14" s="1"/>
  <c r="G30" i="7"/>
  <c r="I30" i="7" s="1"/>
  <c r="J34" i="14" s="1"/>
  <c r="F31" i="7"/>
  <c r="G34" i="7"/>
  <c r="F35" i="7"/>
  <c r="I35" i="7" s="1"/>
  <c r="G38" i="7"/>
  <c r="F39" i="7"/>
  <c r="H39" i="7" s="1"/>
  <c r="G42" i="7"/>
  <c r="I42" i="7" s="1"/>
  <c r="F43" i="7"/>
  <c r="I43" i="7" s="1"/>
  <c r="G46" i="7"/>
  <c r="I46" i="7" s="1"/>
  <c r="F47" i="7"/>
  <c r="H47" i="7" s="1"/>
  <c r="G50" i="7"/>
  <c r="F51" i="7"/>
  <c r="G54" i="7"/>
  <c r="I54" i="7" s="1"/>
  <c r="E9" i="15" s="1"/>
  <c r="G197" i="12"/>
  <c r="G224" i="12"/>
  <c r="I19" i="7"/>
  <c r="H23" i="7"/>
  <c r="J23" i="14" s="1"/>
  <c r="H31" i="7"/>
  <c r="I41" i="7"/>
  <c r="I50" i="7"/>
  <c r="I53" i="7"/>
  <c r="L36" i="8" s="1"/>
  <c r="H15" i="7"/>
  <c r="J12" i="14" s="1"/>
  <c r="H56" i="7"/>
  <c r="L42" i="8" s="1"/>
  <c r="F43" i="12"/>
  <c r="I17" i="7"/>
  <c r="I18" i="7"/>
  <c r="H24" i="7"/>
  <c r="I39" i="7"/>
  <c r="H40" i="7"/>
  <c r="L14" i="8" s="1"/>
  <c r="M15" i="8" s="1"/>
  <c r="F73" i="12"/>
  <c r="I11" i="7"/>
  <c r="I31" i="7"/>
  <c r="J35" i="14" s="1"/>
  <c r="H32" i="7"/>
  <c r="H34" i="7"/>
  <c r="H48" i="7"/>
  <c r="F23" i="15" s="1"/>
  <c r="H50" i="7"/>
  <c r="L28" i="8" s="1"/>
  <c r="F12" i="4"/>
  <c r="F21" i="4"/>
  <c r="F30" i="4"/>
  <c r="F48" i="4"/>
  <c r="G12" i="5"/>
  <c r="G21" i="5"/>
  <c r="F23" i="12"/>
  <c r="H35" i="7"/>
  <c r="G233" i="12"/>
  <c r="I16" i="7"/>
  <c r="J13" i="14" s="1"/>
  <c r="H19" i="7"/>
  <c r="J16" i="14" s="1"/>
  <c r="I21" i="7"/>
  <c r="I32" i="7"/>
  <c r="J39" i="14" s="1"/>
  <c r="K40" i="14" s="1"/>
  <c r="I37" i="7"/>
  <c r="E7" i="15" s="1"/>
  <c r="I48" i="7"/>
  <c r="F39" i="4"/>
  <c r="G123" i="12"/>
  <c r="H10" i="7"/>
  <c r="J8" i="14" s="1"/>
  <c r="I49" i="7"/>
  <c r="F83" i="12"/>
  <c r="G30" i="5"/>
  <c r="F53" i="12"/>
  <c r="G206" i="12"/>
  <c r="G215" i="12"/>
  <c r="I10" i="7"/>
  <c r="H11" i="7"/>
  <c r="J9" i="14" s="1"/>
  <c r="I13" i="7"/>
  <c r="I24" i="7"/>
  <c r="J24" i="14" s="1"/>
  <c r="H27" i="7"/>
  <c r="I29" i="7"/>
  <c r="J33" i="14" s="1"/>
  <c r="I40" i="7"/>
  <c r="H43" i="7"/>
  <c r="L21" i="8" s="1"/>
  <c r="I45" i="7"/>
  <c r="I56" i="7"/>
  <c r="H55" i="7"/>
  <c r="F28" i="15" s="1"/>
  <c r="F15" i="15"/>
  <c r="H17" i="7"/>
  <c r="J14" i="14" s="1"/>
  <c r="H21" i="7"/>
  <c r="J21" i="14" s="1"/>
  <c r="H25" i="7"/>
  <c r="H29" i="7"/>
  <c r="H33" i="7"/>
  <c r="H37" i="7"/>
  <c r="H41" i="7"/>
  <c r="H45" i="7"/>
  <c r="H49" i="7"/>
  <c r="H53" i="7"/>
  <c r="L37" i="8" l="1"/>
  <c r="H12" i="7"/>
  <c r="H26" i="7"/>
  <c r="F27" i="15"/>
  <c r="L30" i="8"/>
  <c r="F19" i="15"/>
  <c r="L22" i="8"/>
  <c r="L9" i="8"/>
  <c r="F14" i="15"/>
  <c r="H54" i="7"/>
  <c r="H30" i="7"/>
  <c r="F25" i="15"/>
  <c r="H28" i="7"/>
  <c r="H14" i="7"/>
  <c r="J11" i="14" s="1"/>
  <c r="I52" i="7"/>
  <c r="I36" i="7"/>
  <c r="I58" i="7" s="1"/>
  <c r="F29" i="15"/>
  <c r="I44" i="7"/>
  <c r="K25" i="14"/>
  <c r="H20" i="7"/>
  <c r="J17" i="14" s="1"/>
  <c r="F22" i="15"/>
  <c r="L25" i="8"/>
  <c r="H46" i="7"/>
  <c r="F33" i="12"/>
  <c r="I51" i="7"/>
  <c r="I38" i="7"/>
  <c r="G58" i="7"/>
  <c r="H38" i="7"/>
  <c r="F13" i="15" s="1"/>
  <c r="H22" i="7"/>
  <c r="M38" i="8"/>
  <c r="F58" i="7"/>
  <c r="I47" i="7"/>
  <c r="M7" i="8"/>
  <c r="E8" i="15"/>
  <c r="I34" i="7"/>
  <c r="J7" i="13" s="1"/>
  <c r="H18" i="7"/>
  <c r="J15" i="14" s="1"/>
  <c r="G242" i="12"/>
  <c r="L26" i="8"/>
  <c r="L29" i="8"/>
  <c r="L41" i="8"/>
  <c r="L20" i="8"/>
  <c r="K36" i="14"/>
  <c r="L41" i="14" s="1"/>
  <c r="K18" i="14"/>
  <c r="M26" i="14" s="1"/>
  <c r="F18" i="15"/>
  <c r="L19" i="8"/>
  <c r="F16" i="15"/>
  <c r="L27" i="8"/>
  <c r="F24" i="15"/>
  <c r="F10" i="15"/>
  <c r="M43" i="8"/>
  <c r="N44" i="8" s="1"/>
  <c r="L23" i="8"/>
  <c r="F20" i="15"/>
  <c r="H58" i="7" l="1"/>
  <c r="L8" i="8"/>
  <c r="M10" i="8" s="1"/>
  <c r="M11" i="8" s="1"/>
  <c r="N16" i="8" s="1"/>
  <c r="F21" i="15"/>
  <c r="L24" i="8"/>
  <c r="E12" i="15"/>
  <c r="E34" i="15" s="1"/>
  <c r="F34" i="15"/>
  <c r="N31" i="8"/>
  <c r="N32" i="8" s="1"/>
  <c r="N46" i="8" s="1"/>
  <c r="I10" i="13" s="1"/>
  <c r="J12" i="13" s="1"/>
  <c r="J14" i="13" s="1"/>
  <c r="J45" i="14" s="1"/>
  <c r="L46" i="14" s="1"/>
  <c r="M47" i="14" s="1"/>
</calcChain>
</file>

<file path=xl/sharedStrings.xml><?xml version="1.0" encoding="utf-8"?>
<sst xmlns="http://schemas.openxmlformats.org/spreadsheetml/2006/main" count="1224" uniqueCount="255">
  <si>
    <t>PT. FADALI FURNITUR</t>
  </si>
  <si>
    <t>PRIODE JANUARI 2006</t>
  </si>
  <si>
    <t>DAFTAR NAMA AKUN</t>
  </si>
  <si>
    <t>DATA PRODUK &amp; SALDO AWAL PERSEDIAAN</t>
  </si>
  <si>
    <t>NO AKUN</t>
  </si>
  <si>
    <t>NAMA AKUN</t>
  </si>
  <si>
    <t>DEBIT</t>
  </si>
  <si>
    <t>KREDIT</t>
  </si>
  <si>
    <t xml:space="preserve">KODE </t>
  </si>
  <si>
    <t>NAMA PRODUK</t>
  </si>
  <si>
    <t>SATUAN</t>
  </si>
  <si>
    <t>HARGA</t>
  </si>
  <si>
    <t>SALDO PERSEDIAAN PER 01-01-2015</t>
  </si>
  <si>
    <t>AKTIVA</t>
  </si>
  <si>
    <t>BELI</t>
  </si>
  <si>
    <t>JUAL</t>
  </si>
  <si>
    <t>Kuantitas</t>
  </si>
  <si>
    <t>Harga Pokok</t>
  </si>
  <si>
    <t>Jumlah</t>
  </si>
  <si>
    <t>AKTIVA LANCAR</t>
  </si>
  <si>
    <t>Kelompok kursi</t>
  </si>
  <si>
    <t>KAS</t>
  </si>
  <si>
    <t>P01</t>
  </si>
  <si>
    <t>QUEEN C405</t>
  </si>
  <si>
    <t>buah</t>
  </si>
  <si>
    <t xml:space="preserve">Kas ditangan </t>
  </si>
  <si>
    <t>P02</t>
  </si>
  <si>
    <t>QUEEN C605</t>
  </si>
  <si>
    <t>Kas kecil</t>
  </si>
  <si>
    <t>P03</t>
  </si>
  <si>
    <t>STONES C109</t>
  </si>
  <si>
    <t>Bank</t>
  </si>
  <si>
    <t>P04</t>
  </si>
  <si>
    <t>STONES C303</t>
  </si>
  <si>
    <t>Bank BCA</t>
  </si>
  <si>
    <t>Kelompok MEJA KERJA</t>
  </si>
  <si>
    <t>Bank Mandiri</t>
  </si>
  <si>
    <t>P05</t>
  </si>
  <si>
    <t>EBIET D708</t>
  </si>
  <si>
    <t>PIUTANG USAHA BERSIH</t>
  </si>
  <si>
    <t>P06</t>
  </si>
  <si>
    <t>EBIET D908</t>
  </si>
  <si>
    <t xml:space="preserve">Piutang Usaha </t>
  </si>
  <si>
    <t>Kelompok LEMARI ARSIP</t>
  </si>
  <si>
    <t>Cadangan piutang tak tertagih</t>
  </si>
  <si>
    <t>P07</t>
  </si>
  <si>
    <t>TAMERLAND L1</t>
  </si>
  <si>
    <t>Piutang lain lain</t>
  </si>
  <si>
    <t>P08</t>
  </si>
  <si>
    <t>TAMERLAND L2</t>
  </si>
  <si>
    <t>Piutang Karyawan</t>
  </si>
  <si>
    <t>P09</t>
  </si>
  <si>
    <t>TAMERLAND L3</t>
  </si>
  <si>
    <t>Persediaan barang dagang</t>
  </si>
  <si>
    <t>Pembayaran dimuka</t>
  </si>
  <si>
    <t>Nilai Persediaan</t>
  </si>
  <si>
    <t>PPN Masukan</t>
  </si>
  <si>
    <t>Uang muka pembelian</t>
  </si>
  <si>
    <t>Aktiva Tetap</t>
  </si>
  <si>
    <t>Nilai buku peralatan kantor</t>
  </si>
  <si>
    <t>DAFTAR SALDO PIUTANG</t>
  </si>
  <si>
    <t>Peralatan Kantor</t>
  </si>
  <si>
    <t>Akm. Penyusutan Peralatan Kantor</t>
  </si>
  <si>
    <t>KODE</t>
  </si>
  <si>
    <t>NAMA PELANGGAN</t>
  </si>
  <si>
    <t>Nilai buku kendaraan</t>
  </si>
  <si>
    <t>PELANGGAN</t>
  </si>
  <si>
    <t>Kendaraan</t>
  </si>
  <si>
    <t>C01</t>
  </si>
  <si>
    <t>PT. GUNUNG AGUNG</t>
  </si>
  <si>
    <t>Akm. Penyusutan kendaraan</t>
  </si>
  <si>
    <t>C02</t>
  </si>
  <si>
    <t>TOKO BUKU UTAMA</t>
  </si>
  <si>
    <t>KEWAJIBAN</t>
  </si>
  <si>
    <t>C03</t>
  </si>
  <si>
    <t>CV MEBEL ABADI</t>
  </si>
  <si>
    <t>KEWAJIBAN LANCAR</t>
  </si>
  <si>
    <t>C04</t>
  </si>
  <si>
    <t>CV SEMBILAN SEMBILAN</t>
  </si>
  <si>
    <t>Hutang usaha</t>
  </si>
  <si>
    <t>C05</t>
  </si>
  <si>
    <t>PENJUALAN COUNTER</t>
  </si>
  <si>
    <t>Pendapatan Diterima dimuka- jasa kirim</t>
  </si>
  <si>
    <t>hutang bunga</t>
  </si>
  <si>
    <t>hutang pajak</t>
  </si>
  <si>
    <t>utang PPh pasal 21</t>
  </si>
  <si>
    <t>Utang PPh pasal 4</t>
  </si>
  <si>
    <t>DAFTAR SALDO UTANG</t>
  </si>
  <si>
    <t>PPN Keluaran</t>
  </si>
  <si>
    <t>KEWAJIBAN JANGKA PANJANG</t>
  </si>
  <si>
    <t>NAMA PEMASOK</t>
  </si>
  <si>
    <t>JUMLAH</t>
  </si>
  <si>
    <t>Hutang bank mandiri</t>
  </si>
  <si>
    <t>PEMASOK</t>
  </si>
  <si>
    <t>EKUITAS</t>
  </si>
  <si>
    <t>S01</t>
  </si>
  <si>
    <t>CV USAHA MAJU</t>
  </si>
  <si>
    <t>Modal saham</t>
  </si>
  <si>
    <t>S02</t>
  </si>
  <si>
    <t>PT KARYA BERSAMA</t>
  </si>
  <si>
    <t>Laba ditahan priode lalu</t>
  </si>
  <si>
    <t>S03</t>
  </si>
  <si>
    <t>UD BERSAUDARA</t>
  </si>
  <si>
    <t>Laba ditahan priode berjalan</t>
  </si>
  <si>
    <t>perkiraan penyeimbangan</t>
  </si>
  <si>
    <t>PENJUALAN BERSIH</t>
  </si>
  <si>
    <t xml:space="preserve">Penjualan </t>
  </si>
  <si>
    <t>Retur penjualan</t>
  </si>
  <si>
    <t>Potongan penjualan</t>
  </si>
  <si>
    <t>HARGA POKOK</t>
  </si>
  <si>
    <t>Harga pokok penjualan</t>
  </si>
  <si>
    <t>BEBAN USAHA</t>
  </si>
  <si>
    <t>Beban gaji karyawan</t>
  </si>
  <si>
    <t>Beban sewa</t>
  </si>
  <si>
    <t>Beban piutang tak tertagih</t>
  </si>
  <si>
    <t>Beban Listrik</t>
  </si>
  <si>
    <t>Beban telepon</t>
  </si>
  <si>
    <t>Beban penyusutan peralatan kantor</t>
  </si>
  <si>
    <t>Beban penyusutan kendaraan</t>
  </si>
  <si>
    <t>Beban Pemasaran</t>
  </si>
  <si>
    <t>Beban transportasi</t>
  </si>
  <si>
    <t>Beban perawatan ac</t>
  </si>
  <si>
    <t>Beban perlengkapan kantor</t>
  </si>
  <si>
    <t>Beban umum lain lain</t>
  </si>
  <si>
    <t>PENDAPATAN LUAR USAHA</t>
  </si>
  <si>
    <t>Laba penjualan aktiva tetap</t>
  </si>
  <si>
    <t>Pendapatan jasa giro</t>
  </si>
  <si>
    <t>BEBAN LUAR USAHA</t>
  </si>
  <si>
    <t>Beban Adm. Bank</t>
  </si>
  <si>
    <t>Beban Bunga</t>
  </si>
  <si>
    <t>TOTAL</t>
  </si>
  <si>
    <t>JURNAL UMUM</t>
  </si>
  <si>
    <t>Periode 31 Januari 2006</t>
  </si>
  <si>
    <t>NO. AKUN</t>
  </si>
  <si>
    <t>TGL</t>
  </si>
  <si>
    <t>NO. BUKTI</t>
  </si>
  <si>
    <t>URAIAN/KETERANGAN</t>
  </si>
  <si>
    <t>REF</t>
  </si>
  <si>
    <t>BARANG MASUK</t>
  </si>
  <si>
    <t>BARANG KELUAR</t>
  </si>
  <si>
    <t>PERSEDIAAN</t>
  </si>
  <si>
    <t>QTTY</t>
  </si>
  <si>
    <t>01/PO/01/06</t>
  </si>
  <si>
    <t>01/KK/01/06</t>
  </si>
  <si>
    <t>01/J/01/06</t>
  </si>
  <si>
    <t>01/KM/01/06</t>
  </si>
  <si>
    <t>01/B/01/06</t>
  </si>
  <si>
    <t>01/NK/01/06</t>
  </si>
  <si>
    <t>02/KK/01/06</t>
  </si>
  <si>
    <t>02/KM/01/06</t>
  </si>
  <si>
    <t>03/KK/01/06</t>
  </si>
  <si>
    <t>01/NR/01/06</t>
  </si>
  <si>
    <t>04/KM/01/06</t>
  </si>
  <si>
    <t>04/KK/01/06</t>
  </si>
  <si>
    <t>05/KK/01/06</t>
  </si>
  <si>
    <t>03/J/01/06</t>
  </si>
  <si>
    <t xml:space="preserve"> </t>
  </si>
  <si>
    <t>02/NR/01/06</t>
  </si>
  <si>
    <t>04/J/01/06</t>
  </si>
  <si>
    <t>06/KK/01/06</t>
  </si>
  <si>
    <t>07/KK/01/06</t>
  </si>
  <si>
    <t>08/KK/01/06</t>
  </si>
  <si>
    <t>05/KM/01/06</t>
  </si>
  <si>
    <t>05/j/01/06</t>
  </si>
  <si>
    <t>06/KM/01/06</t>
  </si>
  <si>
    <t>09/KK/01/06</t>
  </si>
  <si>
    <t>01/BM/01/06</t>
  </si>
  <si>
    <t>02/BM/01/06</t>
  </si>
  <si>
    <t>03/BM/01/06</t>
  </si>
  <si>
    <t>04/BM/01/06</t>
  </si>
  <si>
    <t>BUKU BANTU PIUTANG</t>
  </si>
  <si>
    <t>Kode Pelanggan</t>
  </si>
  <si>
    <t>Nama Pelanggan</t>
  </si>
  <si>
    <t>Tanggal</t>
  </si>
  <si>
    <t>Keterangan</t>
  </si>
  <si>
    <t>Ref</t>
  </si>
  <si>
    <t>Debit</t>
  </si>
  <si>
    <t>Kredit</t>
  </si>
  <si>
    <t>Saldo</t>
  </si>
  <si>
    <t>Saldo Awal</t>
  </si>
  <si>
    <t>MUTASI TRANSAKSI</t>
  </si>
  <si>
    <t>BUKU BANTU HUTANG</t>
  </si>
  <si>
    <t>Kode Pemasok</t>
  </si>
  <si>
    <t>Nama Pemasok</t>
  </si>
  <si>
    <t>KARTU PERSEDIAAN</t>
  </si>
  <si>
    <t>Kode Persediaan</t>
  </si>
  <si>
    <t>Nama Persediaan</t>
  </si>
  <si>
    <t>Barang Masuk</t>
  </si>
  <si>
    <t>Barang Keluar</t>
  </si>
  <si>
    <t>QTY</t>
  </si>
  <si>
    <t>Harga</t>
  </si>
  <si>
    <t>penjualan counter</t>
  </si>
  <si>
    <t>cv ushaa maju</t>
  </si>
  <si>
    <t xml:space="preserve">Harga </t>
  </si>
  <si>
    <t>cv usaha maju</t>
  </si>
  <si>
    <t>Toko buku utama</t>
  </si>
  <si>
    <t xml:space="preserve">PT GUNUNG AGUNG </t>
  </si>
  <si>
    <t>BUKU BESAR</t>
  </si>
  <si>
    <t>KODE AKUN</t>
  </si>
  <si>
    <t>KETERANGAN</t>
  </si>
  <si>
    <t>R/F</t>
  </si>
  <si>
    <t>DEBET</t>
  </si>
  <si>
    <t>SALDO</t>
  </si>
  <si>
    <t>1 Des</t>
  </si>
  <si>
    <t>SALDO AWAL</t>
  </si>
  <si>
    <t>31 Des</t>
  </si>
  <si>
    <t>mutasi transaksi</t>
  </si>
  <si>
    <t>Kode Akun</t>
  </si>
  <si>
    <t>Nama Akun</t>
  </si>
  <si>
    <t>NERACA SALDO</t>
  </si>
  <si>
    <t>No. Akun</t>
  </si>
  <si>
    <t>Neraca Saldo Awal</t>
  </si>
  <si>
    <t>Mutasi Transaksi</t>
  </si>
  <si>
    <t>Neraca Saldo Akhir</t>
  </si>
  <si>
    <t>Total</t>
  </si>
  <si>
    <t>PT. FADALI FURNITURE</t>
  </si>
  <si>
    <t>LAPORAN LABA RUGI</t>
  </si>
  <si>
    <t>Untuk Periode yang Berakhir Pada Januari 2006</t>
  </si>
  <si>
    <t>PENJUALAN</t>
  </si>
  <si>
    <t>JUMLAH POTONGAN &amp; RETUR PENJUALAN</t>
  </si>
  <si>
    <t xml:space="preserve">Harga Pokok Penjualan </t>
  </si>
  <si>
    <t>JUMLAH HARGA POKOK PENJUALAN</t>
  </si>
  <si>
    <t>LABA KOTOR PENJUALAN</t>
  </si>
  <si>
    <t xml:space="preserve">Beban Usaha </t>
  </si>
  <si>
    <t>JUMLAH BEBAN USAHA</t>
  </si>
  <si>
    <t>LABA SEBELUM PENDAPATAN &amp; BEBAN DILUAR USAHA</t>
  </si>
  <si>
    <t>PENDAPATAN &amp; BEBAN DILUAR USAHA</t>
  </si>
  <si>
    <t xml:space="preserve">PENDAPATAN LUAR USAHA </t>
  </si>
  <si>
    <t>JUMLAH PENDAPATAN DILUAR USAHA</t>
  </si>
  <si>
    <t xml:space="preserve">BEBAN LUAR USAHA </t>
  </si>
  <si>
    <t>JUMLAH BEBAN DILUAR USAHA</t>
  </si>
  <si>
    <t>JUMLAH PENDAPATAN &amp; BEBAN DILUAR USAHA</t>
  </si>
  <si>
    <t>LABA BERSIH SEBELUM PAJAK</t>
  </si>
  <si>
    <t xml:space="preserve">LAPORAN PERUBAHAN LABA </t>
  </si>
  <si>
    <t>Untuk Periode Yang Berakhir Pada Januari 2006</t>
  </si>
  <si>
    <t>LABA DITAHAN AWAL PERIODE</t>
  </si>
  <si>
    <t>PENGURANGAN :</t>
  </si>
  <si>
    <t>LABA BERSIH</t>
  </si>
  <si>
    <t>DEVIDEN</t>
  </si>
  <si>
    <t>PERUBAHAN LABA DITAHAN</t>
  </si>
  <si>
    <t>LABA DITAHAN AKHIR PERIODE</t>
  </si>
  <si>
    <t>NERACA</t>
  </si>
  <si>
    <t>JUMLAH AKTIVA LANCAR</t>
  </si>
  <si>
    <t>AKTIVA TETAP</t>
  </si>
  <si>
    <t>JUMLAH AKTIVA TETAP</t>
  </si>
  <si>
    <t>TOTAL AKTIVA</t>
  </si>
  <si>
    <t>PASIVA</t>
  </si>
  <si>
    <t>KEWAJIBAN JANGKA PENDEK</t>
  </si>
  <si>
    <t>JUMLAH KEWAJIBAN JANGKA PENDEK</t>
  </si>
  <si>
    <t>JUMLAH KEWAJIBAN JANGKA PANJANG</t>
  </si>
  <si>
    <t>JUMLAH KEWAJIBAN</t>
  </si>
  <si>
    <t>JUMLAH EKUITAS</t>
  </si>
  <si>
    <t>TOTAL PASIVA</t>
  </si>
  <si>
    <t>NERACA SALDO PENUTUP</t>
  </si>
  <si>
    <t>Ikhtisar Laba Rugi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</si>
</sst>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 * #,##0_ ;_ * \-#,##0_ ;_ * &quot;-&quot;_ ;_ @_ "/>
    <numFmt numFmtId="165" formatCode="_-[$Rp-421]* #,##0_-;\-[$Rp-421]* #,##0_-;_-[$Rp-421]* &quot;-&quot;_-;_-@_-"/>
    <numFmt numFmtId="166" formatCode="_-&quot;Rp&quot;* #,##0_-;\-&quot;Rp&quot;* #,##0_-;_-&quot;Rp&quot;* &quot;-&quot;_-;_-@_-"/>
    <numFmt numFmtId="167" formatCode="_-[$Rp-3809]* #,##0_-;\-[$Rp-3809]* #,##0_-;_-[$Rp-3809]* &quot;-&quot;_-;_-@_-"/>
    <numFmt numFmtId="168" formatCode="[$-1009]d\-mmm\-yy;@"/>
  </numFmts>
  <fonts count="16">
    <font>
      <sz val="11"/>
      <color theme="1"/>
      <name val="Calibri"/>
      <charset val="134"/>
      <scheme val="minor"/>
    </font>
    <font>
      <b/>
      <sz val="12"/>
      <color theme="1"/>
      <name val="Calibri"/>
      <charset val="1"/>
      <scheme val="minor"/>
    </font>
    <font>
      <sz val="11"/>
      <color theme="1"/>
      <name val="Calibri"/>
      <charset val="1"/>
      <scheme val="minor"/>
    </font>
    <font>
      <b/>
      <sz val="12"/>
      <color theme="1"/>
      <name val="Calibri"/>
      <charset val="134"/>
      <scheme val="minor"/>
    </font>
    <font>
      <u/>
      <sz val="11"/>
      <color theme="1"/>
      <name val="Calibri"/>
      <charset val="1"/>
      <scheme val="minor"/>
    </font>
    <font>
      <b/>
      <sz val="11"/>
      <color theme="1"/>
      <name val="Calibri"/>
      <charset val="1"/>
      <scheme val="minor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u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1"/>
      <scheme val="minor"/>
    </font>
    <font>
      <b/>
      <sz val="11"/>
      <color theme="0"/>
      <name val="Calibri"/>
      <charset val="134"/>
      <scheme val="minor"/>
    </font>
    <font>
      <sz val="11"/>
      <color theme="0"/>
      <name val="Calibri"/>
      <charset val="134"/>
      <scheme val="minor"/>
    </font>
    <font>
      <b/>
      <u val="double"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A8E2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4">
    <xf numFmtId="0" fontId="0" fillId="0" borderId="0">
      <alignment vertical="center"/>
    </xf>
    <xf numFmtId="164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</cellStyleXfs>
  <cellXfs count="390">
    <xf numFmtId="0" fontId="0" fillId="0" borderId="0" xfId="0">
      <alignment vertical="center"/>
    </xf>
    <xf numFmtId="0" fontId="2" fillId="0" borderId="0" xfId="0" applyFont="1" applyFill="1" applyBorder="1" applyAlignment="1"/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1" xfId="0" applyFill="1" applyBorder="1" applyAlignment="1"/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165" fontId="0" fillId="0" borderId="11" xfId="0" applyNumberFormat="1" applyBorder="1">
      <alignment vertical="center"/>
    </xf>
    <xf numFmtId="165" fontId="0" fillId="0" borderId="12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165" fontId="0" fillId="0" borderId="10" xfId="0" applyNumberFormat="1" applyBorder="1">
      <alignment vertical="center"/>
    </xf>
    <xf numFmtId="165" fontId="0" fillId="0" borderId="17" xfId="0" applyNumberFormat="1" applyBorder="1">
      <alignment vertical="center"/>
    </xf>
    <xf numFmtId="0" fontId="7" fillId="2" borderId="20" xfId="0" applyFont="1" applyFill="1" applyBorder="1">
      <alignment vertical="center"/>
    </xf>
    <xf numFmtId="165" fontId="6" fillId="2" borderId="20" xfId="0" applyNumberFormat="1" applyFont="1" applyFill="1" applyBorder="1">
      <alignment vertical="center"/>
    </xf>
    <xf numFmtId="165" fontId="6" fillId="2" borderId="21" xfId="0" applyNumberFormat="1" applyFont="1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2" fillId="0" borderId="0" xfId="0" applyFont="1" applyFill="1" applyAlignment="1"/>
    <xf numFmtId="0" fontId="2" fillId="0" borderId="4" xfId="0" applyFont="1" applyFill="1" applyBorder="1" applyAlignment="1"/>
    <xf numFmtId="0" fontId="9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7" xfId="0" applyFont="1" applyFill="1" applyBorder="1" applyAlignment="1"/>
    <xf numFmtId="0" fontId="2" fillId="0" borderId="7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6" xfId="0" applyFont="1" applyFill="1" applyBorder="1" applyAlignment="1"/>
    <xf numFmtId="0" fontId="2" fillId="0" borderId="5" xfId="0" applyFont="1" applyFill="1" applyBorder="1" applyAlignment="1"/>
    <xf numFmtId="165" fontId="2" fillId="0" borderId="0" xfId="1" applyNumberFormat="1" applyFont="1" applyBorder="1" applyAlignment="1"/>
    <xf numFmtId="165" fontId="2" fillId="0" borderId="0" xfId="0" applyNumberFormat="1" applyFont="1" applyFill="1" applyBorder="1" applyAlignment="1"/>
    <xf numFmtId="165" fontId="2" fillId="0" borderId="5" xfId="0" applyNumberFormat="1" applyFont="1" applyFill="1" applyBorder="1" applyAlignment="1"/>
    <xf numFmtId="165" fontId="9" fillId="0" borderId="0" xfId="0" applyNumberFormat="1" applyFont="1" applyFill="1" applyBorder="1" applyAlignment="1"/>
    <xf numFmtId="165" fontId="9" fillId="0" borderId="22" xfId="0" applyNumberFormat="1" applyFont="1" applyFill="1" applyBorder="1" applyAlignment="1"/>
    <xf numFmtId="165" fontId="9" fillId="2" borderId="22" xfId="0" applyNumberFormat="1" applyFont="1" applyFill="1" applyBorder="1" applyAlignment="1"/>
    <xf numFmtId="165" fontId="2" fillId="0" borderId="0" xfId="0" applyNumberFormat="1" applyFont="1" applyFill="1" applyAlignment="1"/>
    <xf numFmtId="165" fontId="2" fillId="0" borderId="7" xfId="0" applyNumberFormat="1" applyFont="1" applyFill="1" applyBorder="1" applyAlignment="1"/>
    <xf numFmtId="165" fontId="9" fillId="0" borderId="7" xfId="0" applyNumberFormat="1" applyFont="1" applyFill="1" applyBorder="1" applyAlignment="1"/>
    <xf numFmtId="165" fontId="9" fillId="2" borderId="7" xfId="0" applyNumberFormat="1" applyFont="1" applyFill="1" applyBorder="1" applyAlignment="1"/>
    <xf numFmtId="165" fontId="2" fillId="0" borderId="8" xfId="0" applyNumberFormat="1" applyFont="1" applyFill="1" applyBorder="1" applyAlignment="1"/>
    <xf numFmtId="0" fontId="2" fillId="0" borderId="1" xfId="0" applyFont="1" applyFill="1" applyBorder="1" applyAlignment="1"/>
    <xf numFmtId="0" fontId="2" fillId="0" borderId="2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2" fillId="0" borderId="3" xfId="0" applyFont="1" applyFill="1" applyBorder="1" applyAlignment="1"/>
    <xf numFmtId="165" fontId="0" fillId="0" borderId="0" xfId="0" applyNumberFormat="1" applyFont="1" applyFill="1" applyBorder="1" applyAlignment="1"/>
    <xf numFmtId="165" fontId="2" fillId="0" borderId="22" xfId="0" applyNumberFormat="1" applyFont="1" applyFill="1" applyBorder="1" applyAlignment="1"/>
    <xf numFmtId="0" fontId="2" fillId="0" borderId="8" xfId="0" applyFont="1" applyFill="1" applyBorder="1" applyAlignment="1"/>
    <xf numFmtId="0" fontId="11" fillId="0" borderId="4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165" fontId="9" fillId="0" borderId="22" xfId="1" applyNumberFormat="1" applyFont="1" applyBorder="1" applyAlignment="1"/>
    <xf numFmtId="165" fontId="9" fillId="0" borderId="0" xfId="1" applyNumberFormat="1" applyFont="1" applyBorder="1" applyAlignment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/>
    <xf numFmtId="0" fontId="9" fillId="0" borderId="0" xfId="0" applyFont="1" applyFill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6" fontId="0" fillId="0" borderId="11" xfId="2" applyNumberFormat="1" applyFont="1" applyBorder="1" applyAlignment="1"/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/>
    <xf numFmtId="0" fontId="0" fillId="0" borderId="14" xfId="0" applyFill="1" applyBorder="1" applyAlignment="1"/>
    <xf numFmtId="166" fontId="6" fillId="2" borderId="11" xfId="2" applyNumberFormat="1" applyFont="1" applyFill="1" applyBorder="1" applyAlignment="1"/>
    <xf numFmtId="166" fontId="6" fillId="2" borderId="11" xfId="0" applyNumberFormat="1" applyFont="1" applyFill="1" applyBorder="1" applyAlignment="1"/>
    <xf numFmtId="0" fontId="7" fillId="0" borderId="3" xfId="0" applyFont="1" applyFill="1" applyBorder="1" applyAlignment="1"/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 applyAlignment="1"/>
    <xf numFmtId="0" fontId="9" fillId="0" borderId="3" xfId="0" applyFont="1" applyFill="1" applyBorder="1" applyAlignment="1"/>
    <xf numFmtId="0" fontId="9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/>
    <xf numFmtId="0" fontId="9" fillId="0" borderId="4" xfId="0" applyFont="1" applyFill="1" applyBorder="1" applyAlignment="1"/>
    <xf numFmtId="0" fontId="9" fillId="2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1" xfId="0" applyFont="1" applyFill="1" applyBorder="1" applyAlignment="1"/>
    <xf numFmtId="0" fontId="9" fillId="2" borderId="12" xfId="0" applyFont="1" applyFill="1" applyBorder="1" applyAlignment="1"/>
    <xf numFmtId="0" fontId="0" fillId="0" borderId="9" xfId="0" applyFill="1" applyBorder="1" applyAlignment="1"/>
    <xf numFmtId="0" fontId="0" fillId="0" borderId="11" xfId="0" applyFont="1" applyFill="1" applyBorder="1" applyAlignment="1"/>
    <xf numFmtId="165" fontId="0" fillId="0" borderId="11" xfId="0" applyNumberFormat="1" applyFont="1" applyFill="1" applyBorder="1" applyAlignment="1"/>
    <xf numFmtId="165" fontId="0" fillId="0" borderId="12" xfId="0" applyNumberFormat="1" applyFont="1" applyFill="1" applyBorder="1" applyAlignment="1"/>
    <xf numFmtId="167" fontId="0" fillId="0" borderId="10" xfId="0" applyNumberFormat="1" applyFont="1" applyFill="1" applyBorder="1" applyAlignment="1"/>
    <xf numFmtId="167" fontId="0" fillId="0" borderId="0" xfId="0" applyNumberFormat="1">
      <alignment vertical="center"/>
    </xf>
    <xf numFmtId="167" fontId="0" fillId="0" borderId="0" xfId="3" applyNumberFormat="1" applyFont="1">
      <alignment vertical="center"/>
    </xf>
    <xf numFmtId="165" fontId="0" fillId="0" borderId="10" xfId="0" applyNumberFormat="1" applyFont="1" applyFill="1" applyBorder="1" applyAlignment="1"/>
    <xf numFmtId="165" fontId="0" fillId="0" borderId="17" xfId="0" applyNumberFormat="1" applyFont="1" applyFill="1" applyBorder="1" applyAlignment="1"/>
    <xf numFmtId="16" fontId="0" fillId="0" borderId="25" xfId="0" applyNumberFormat="1" applyFont="1" applyFill="1" applyBorder="1" applyAlignment="1"/>
    <xf numFmtId="0" fontId="0" fillId="0" borderId="26" xfId="0" applyFont="1" applyFill="1" applyBorder="1" applyAlignment="1"/>
    <xf numFmtId="165" fontId="0" fillId="0" borderId="26" xfId="0" applyNumberFormat="1" applyFont="1" applyFill="1" applyBorder="1" applyAlignment="1"/>
    <xf numFmtId="165" fontId="0" fillId="0" borderId="27" xfId="0" applyNumberFormat="1" applyFont="1" applyFill="1" applyBorder="1" applyAlignment="1"/>
    <xf numFmtId="0" fontId="0" fillId="0" borderId="10" xfId="0" applyFont="1" applyFill="1" applyBorder="1" applyAlignment="1"/>
    <xf numFmtId="0" fontId="0" fillId="0" borderId="25" xfId="0" applyFont="1" applyFill="1" applyBorder="1" applyAlignment="1"/>
    <xf numFmtId="167" fontId="0" fillId="0" borderId="11" xfId="0" applyNumberFormat="1" applyFont="1" applyFill="1" applyBorder="1" applyAlignment="1"/>
    <xf numFmtId="0" fontId="9" fillId="0" borderId="28" xfId="0" applyFont="1" applyFill="1" applyBorder="1" applyAlignment="1">
      <alignment horizontal="left"/>
    </xf>
    <xf numFmtId="0" fontId="9" fillId="0" borderId="29" xfId="0" applyFont="1" applyFill="1" applyBorder="1" applyAlignment="1">
      <alignment horizontal="left"/>
    </xf>
    <xf numFmtId="0" fontId="9" fillId="0" borderId="29" xfId="0" applyFont="1" applyFill="1" applyBorder="1" applyAlignment="1"/>
    <xf numFmtId="0" fontId="9" fillId="0" borderId="30" xfId="0" applyFont="1" applyFill="1" applyBorder="1" applyAlignment="1"/>
    <xf numFmtId="0" fontId="9" fillId="0" borderId="9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right"/>
    </xf>
    <xf numFmtId="0" fontId="9" fillId="0" borderId="11" xfId="0" applyFont="1" applyFill="1" applyBorder="1" applyAlignment="1"/>
    <xf numFmtId="0" fontId="9" fillId="0" borderId="12" xfId="0" applyFont="1" applyFill="1" applyBorder="1" applyAlignment="1"/>
    <xf numFmtId="167" fontId="0" fillId="0" borderId="11" xfId="0" applyNumberFormat="1" applyBorder="1">
      <alignment vertical="center"/>
    </xf>
    <xf numFmtId="0" fontId="0" fillId="0" borderId="25" xfId="0" applyFill="1" applyBorder="1" applyAlignment="1"/>
    <xf numFmtId="0" fontId="0" fillId="0" borderId="26" xfId="0" applyFill="1" applyBorder="1" applyAlignment="1"/>
    <xf numFmtId="166" fontId="0" fillId="0" borderId="26" xfId="2" applyNumberFormat="1" applyFont="1" applyBorder="1" applyAlignment="1"/>
    <xf numFmtId="166" fontId="0" fillId="0" borderId="27" xfId="2" applyNumberFormat="1" applyFont="1" applyBorder="1" applyAlignment="1"/>
    <xf numFmtId="166" fontId="0" fillId="0" borderId="0" xfId="2" applyNumberFormat="1" applyFont="1" applyAlignment="1"/>
    <xf numFmtId="0" fontId="9" fillId="0" borderId="1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0" xfId="0" applyFont="1" applyFill="1" applyAlignment="1">
      <alignment horizontal="right"/>
    </xf>
    <xf numFmtId="0" fontId="9" fillId="0" borderId="1" xfId="0" applyFont="1" applyFill="1" applyBorder="1" applyAlignment="1"/>
    <xf numFmtId="0" fontId="0" fillId="0" borderId="9" xfId="0" applyFont="1" applyFill="1" applyBorder="1" applyAlignment="1"/>
    <xf numFmtId="166" fontId="0" fillId="0" borderId="12" xfId="2" applyNumberFormat="1" applyFont="1" applyBorder="1" applyAlignment="1"/>
    <xf numFmtId="0" fontId="9" fillId="0" borderId="0" xfId="0" applyFont="1" applyFill="1" applyBorder="1" applyAlignment="1">
      <alignment horizontal="left"/>
    </xf>
    <xf numFmtId="0" fontId="9" fillId="0" borderId="9" xfId="0" applyFont="1" applyFill="1" applyBorder="1" applyAlignment="1"/>
    <xf numFmtId="166" fontId="9" fillId="0" borderId="11" xfId="2" applyNumberFormat="1" applyFont="1" applyBorder="1" applyAlignment="1"/>
    <xf numFmtId="165" fontId="9" fillId="0" borderId="11" xfId="0" applyNumberFormat="1" applyFont="1" applyFill="1" applyBorder="1" applyAlignment="1"/>
    <xf numFmtId="166" fontId="9" fillId="0" borderId="12" xfId="2" applyNumberFormat="1" applyFont="1" applyBorder="1" applyAlignment="1"/>
    <xf numFmtId="0" fontId="0" fillId="0" borderId="31" xfId="0" applyFill="1" applyBorder="1" applyAlignment="1"/>
    <xf numFmtId="165" fontId="0" fillId="0" borderId="32" xfId="0" applyNumberFormat="1" applyFont="1" applyFill="1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167" fontId="0" fillId="0" borderId="12" xfId="0" applyNumberFormat="1" applyFont="1" applyFill="1" applyBorder="1" applyAlignment="1"/>
    <xf numFmtId="0" fontId="0" fillId="0" borderId="0" xfId="0" applyFont="1" applyFill="1" applyAlignment="1"/>
    <xf numFmtId="0" fontId="0" fillId="0" borderId="2" xfId="0" applyFont="1" applyFill="1" applyBorder="1" applyAlignment="1"/>
    <xf numFmtId="168" fontId="0" fillId="0" borderId="9" xfId="0" applyNumberFormat="1" applyFont="1" applyFill="1" applyBorder="1" applyAlignment="1"/>
    <xf numFmtId="165" fontId="0" fillId="0" borderId="11" xfId="2" applyNumberFormat="1" applyFont="1" applyBorder="1" applyAlignment="1"/>
    <xf numFmtId="168" fontId="0" fillId="0" borderId="25" xfId="0" applyNumberFormat="1" applyBorder="1">
      <alignment vertical="center"/>
    </xf>
    <xf numFmtId="0" fontId="0" fillId="0" borderId="26" xfId="0" applyBorder="1">
      <alignment vertical="center"/>
    </xf>
    <xf numFmtId="165" fontId="0" fillId="0" borderId="26" xfId="0" applyNumberFormat="1" applyBorder="1">
      <alignment vertical="center"/>
    </xf>
    <xf numFmtId="168" fontId="0" fillId="0" borderId="9" xfId="0" applyNumberFormat="1" applyBorder="1">
      <alignment vertical="center"/>
    </xf>
    <xf numFmtId="14" fontId="0" fillId="0" borderId="26" xfId="0" applyNumberFormat="1" applyBorder="1">
      <alignment vertical="center"/>
    </xf>
    <xf numFmtId="168" fontId="0" fillId="0" borderId="25" xfId="0" applyNumberFormat="1" applyFont="1" applyFill="1" applyBorder="1" applyAlignment="1"/>
    <xf numFmtId="165" fontId="0" fillId="0" borderId="26" xfId="2" applyNumberFormat="1" applyFont="1" applyBorder="1" applyAlignment="1"/>
    <xf numFmtId="0" fontId="0" fillId="0" borderId="3" xfId="0" applyFont="1" applyFill="1" applyBorder="1" applyAlignment="1"/>
    <xf numFmtId="0" fontId="0" fillId="0" borderId="5" xfId="0" applyFont="1" applyFill="1" applyBorder="1" applyAlignment="1"/>
    <xf numFmtId="165" fontId="0" fillId="0" borderId="12" xfId="2" applyNumberFormat="1" applyFont="1" applyBorder="1" applyAlignment="1"/>
    <xf numFmtId="165" fontId="0" fillId="0" borderId="27" xfId="0" applyNumberFormat="1" applyBorder="1">
      <alignment vertical="center"/>
    </xf>
    <xf numFmtId="0" fontId="9" fillId="2" borderId="12" xfId="0" applyFont="1" applyFill="1" applyBorder="1" applyAlignment="1">
      <alignment horizontal="center" vertical="center"/>
    </xf>
    <xf numFmtId="165" fontId="0" fillId="0" borderId="27" xfId="2" applyNumberFormat="1" applyFont="1" applyBorder="1" applyAlignment="1"/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165" fontId="0" fillId="0" borderId="11" xfId="2" applyNumberFormat="1" applyFont="1" applyBorder="1" applyAlignment="1">
      <alignment horizontal="center"/>
    </xf>
    <xf numFmtId="165" fontId="0" fillId="0" borderId="12" xfId="0" applyNumberFormat="1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165" fontId="0" fillId="0" borderId="26" xfId="0" applyNumberFormat="1" applyFont="1" applyFill="1" applyBorder="1" applyAlignment="1">
      <alignment horizontal="center"/>
    </xf>
    <xf numFmtId="165" fontId="0" fillId="0" borderId="27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165" fontId="0" fillId="0" borderId="11" xfId="2" applyNumberFormat="1" applyFont="1" applyBorder="1" applyAlignment="1">
      <alignment horizontal="center" vertical="center"/>
    </xf>
    <xf numFmtId="165" fontId="0" fillId="0" borderId="12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0" fillId="0" borderId="33" xfId="0" applyFont="1" applyFill="1" applyBorder="1" applyAlignment="1">
      <alignment horizontal="center" vertical="center" wrapText="1"/>
    </xf>
    <xf numFmtId="168" fontId="0" fillId="0" borderId="28" xfId="0" applyNumberFormat="1" applyFont="1" applyFill="1" applyBorder="1" applyAlignment="1">
      <alignment horizontal="center" vertical="center"/>
    </xf>
    <xf numFmtId="0" fontId="0" fillId="0" borderId="34" xfId="0" applyFont="1" applyFill="1" applyBorder="1" applyAlignment="1"/>
    <xf numFmtId="0" fontId="0" fillId="0" borderId="29" xfId="0" applyFont="1" applyFill="1" applyBorder="1" applyAlignment="1"/>
    <xf numFmtId="0" fontId="0" fillId="0" borderId="35" xfId="0" applyFont="1" applyFill="1" applyBorder="1" applyAlignment="1">
      <alignment horizontal="center" vertical="center"/>
    </xf>
    <xf numFmtId="166" fontId="0" fillId="0" borderId="29" xfId="2" applyNumberFormat="1" applyFont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0" fillId="0" borderId="36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166" fontId="0" fillId="0" borderId="26" xfId="2" applyNumberFormat="1" applyFont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168" fontId="0" fillId="0" borderId="28" xfId="0" applyNumberFormat="1" applyFont="1" applyFill="1" applyBorder="1" applyAlignment="1"/>
    <xf numFmtId="165" fontId="0" fillId="0" borderId="29" xfId="0" applyNumberFormat="1" applyFont="1" applyFill="1" applyBorder="1" applyAlignment="1">
      <alignment horizontal="center"/>
    </xf>
    <xf numFmtId="0" fontId="0" fillId="0" borderId="36" xfId="0" applyFont="1" applyFill="1" applyBorder="1" applyAlignment="1">
      <alignment horizontal="center"/>
    </xf>
    <xf numFmtId="0" fontId="0" fillId="0" borderId="37" xfId="0" applyFont="1" applyFill="1" applyBorder="1" applyAlignment="1"/>
    <xf numFmtId="0" fontId="0" fillId="0" borderId="39" xfId="0" applyFont="1" applyFill="1" applyBorder="1" applyAlignment="1">
      <alignment horizontal="center"/>
    </xf>
    <xf numFmtId="168" fontId="0" fillId="0" borderId="40" xfId="0" applyNumberFormat="1" applyFont="1" applyFill="1" applyBorder="1" applyAlignment="1"/>
    <xf numFmtId="0" fontId="0" fillId="0" borderId="41" xfId="0" applyFont="1" applyFill="1" applyBorder="1" applyAlignment="1"/>
    <xf numFmtId="0" fontId="0" fillId="0" borderId="28" xfId="0" applyFont="1" applyFill="1" applyBorder="1" applyAlignment="1"/>
    <xf numFmtId="0" fontId="0" fillId="0" borderId="13" xfId="0" applyFont="1" applyFill="1" applyBorder="1" applyAlignment="1">
      <alignment horizontal="center"/>
    </xf>
    <xf numFmtId="0" fontId="0" fillId="0" borderId="23" xfId="0" applyFont="1" applyFill="1" applyBorder="1" applyAlignment="1"/>
    <xf numFmtId="0" fontId="0" fillId="0" borderId="14" xfId="0" applyFont="1" applyFill="1" applyBorder="1" applyAlignment="1">
      <alignment horizontal="center" vertical="center"/>
    </xf>
    <xf numFmtId="165" fontId="0" fillId="0" borderId="11" xfId="0" applyNumberFormat="1" applyFont="1" applyFill="1" applyBorder="1" applyAlignment="1">
      <alignment horizontal="center"/>
    </xf>
    <xf numFmtId="0" fontId="0" fillId="0" borderId="42" xfId="0" applyFont="1" applyFill="1" applyBorder="1" applyAlignment="1"/>
    <xf numFmtId="0" fontId="0" fillId="0" borderId="43" xfId="0" applyFont="1" applyFill="1" applyBorder="1" applyAlignment="1">
      <alignment horizontal="center" vertical="center"/>
    </xf>
    <xf numFmtId="165" fontId="0" fillId="0" borderId="42" xfId="0" applyNumberFormat="1" applyFont="1" applyFill="1" applyBorder="1" applyAlignment="1">
      <alignment horizontal="center"/>
    </xf>
    <xf numFmtId="0" fontId="0" fillId="0" borderId="42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165" fontId="0" fillId="0" borderId="30" xfId="0" applyNumberFormat="1" applyFont="1" applyFill="1" applyBorder="1" applyAlignment="1">
      <alignment horizontal="center"/>
    </xf>
    <xf numFmtId="165" fontId="0" fillId="0" borderId="44" xfId="0" applyNumberFormat="1" applyFont="1" applyFill="1" applyBorder="1" applyAlignment="1">
      <alignment horizontal="center"/>
    </xf>
    <xf numFmtId="0" fontId="0" fillId="0" borderId="36" xfId="0" applyFont="1" applyBorder="1" applyAlignment="1">
      <alignment horizontal="center" vertical="center"/>
    </xf>
    <xf numFmtId="0" fontId="0" fillId="0" borderId="25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6" xfId="0" applyFont="1" applyBorder="1" applyAlignment="1">
      <alignment horizontal="center" vertical="center"/>
    </xf>
    <xf numFmtId="165" fontId="0" fillId="0" borderId="26" xfId="0" applyNumberFormat="1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15" fontId="0" fillId="0" borderId="40" xfId="0" applyNumberFormat="1" applyFont="1" applyBorder="1">
      <alignment vertical="center"/>
    </xf>
    <xf numFmtId="0" fontId="0" fillId="0" borderId="42" xfId="0" applyFont="1" applyBorder="1">
      <alignment vertical="center"/>
    </xf>
    <xf numFmtId="0" fontId="0" fillId="0" borderId="42" xfId="0" applyFont="1" applyBorder="1" applyAlignment="1">
      <alignment horizontal="center" vertical="center"/>
    </xf>
    <xf numFmtId="165" fontId="0" fillId="0" borderId="42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9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165" fontId="0" fillId="0" borderId="11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31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0" xfId="0" applyFont="1" applyBorder="1" applyAlignment="1">
      <alignment horizontal="center" vertical="center"/>
    </xf>
    <xf numFmtId="165" fontId="0" fillId="0" borderId="10" xfId="0" applyNumberFormat="1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168" fontId="0" fillId="0" borderId="29" xfId="0" applyNumberFormat="1" applyFont="1" applyBorder="1">
      <alignment vertical="center"/>
    </xf>
    <xf numFmtId="0" fontId="0" fillId="0" borderId="29" xfId="0" applyFont="1" applyBorder="1">
      <alignment vertical="center"/>
    </xf>
    <xf numFmtId="165" fontId="0" fillId="0" borderId="29" xfId="0" applyNumberFormat="1" applyFont="1" applyBorder="1">
      <alignment vertical="center"/>
    </xf>
    <xf numFmtId="0" fontId="0" fillId="0" borderId="9" xfId="0" applyFont="1" applyBorder="1" applyAlignment="1">
      <alignment horizontal="center" vertical="center"/>
    </xf>
    <xf numFmtId="168" fontId="0" fillId="0" borderId="11" xfId="0" applyNumberFormat="1" applyFont="1" applyBorder="1">
      <alignment vertical="center"/>
    </xf>
    <xf numFmtId="165" fontId="0" fillId="0" borderId="11" xfId="0" applyNumberFormat="1" applyFont="1" applyBorder="1">
      <alignment vertical="center"/>
    </xf>
    <xf numFmtId="0" fontId="0" fillId="0" borderId="25" xfId="0" applyFont="1" applyBorder="1" applyAlignment="1">
      <alignment horizontal="center" vertical="center"/>
    </xf>
    <xf numFmtId="168" fontId="0" fillId="0" borderId="10" xfId="0" applyNumberFormat="1" applyFont="1" applyBorder="1">
      <alignment vertical="center"/>
    </xf>
    <xf numFmtId="165" fontId="0" fillId="0" borderId="10" xfId="0" applyNumberFormat="1" applyFont="1" applyBorder="1">
      <alignment vertical="center"/>
    </xf>
    <xf numFmtId="168" fontId="0" fillId="0" borderId="28" xfId="0" applyNumberFormat="1" applyFont="1" applyBorder="1">
      <alignment vertical="center"/>
    </xf>
    <xf numFmtId="168" fontId="0" fillId="0" borderId="31" xfId="0" applyNumberFormat="1" applyFont="1" applyBorder="1">
      <alignment vertical="center"/>
    </xf>
    <xf numFmtId="0" fontId="0" fillId="0" borderId="31" xfId="0" applyFont="1" applyBorder="1" applyAlignment="1">
      <alignment horizontal="center" vertical="center"/>
    </xf>
    <xf numFmtId="165" fontId="0" fillId="0" borderId="26" xfId="0" applyNumberFormat="1" applyFont="1" applyBorder="1">
      <alignment vertical="center"/>
    </xf>
    <xf numFmtId="0" fontId="0" fillId="0" borderId="4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45" xfId="0" applyFont="1" applyBorder="1" applyAlignment="1">
      <alignment horizontal="center" vertical="center"/>
    </xf>
    <xf numFmtId="165" fontId="0" fillId="0" borderId="46" xfId="0" applyNumberFormat="1" applyFont="1" applyBorder="1">
      <alignment vertical="center"/>
    </xf>
    <xf numFmtId="0" fontId="0" fillId="0" borderId="46" xfId="0" applyFont="1" applyBorder="1">
      <alignment vertical="center"/>
    </xf>
    <xf numFmtId="165" fontId="14" fillId="2" borderId="26" xfId="0" applyNumberFormat="1" applyFont="1" applyFill="1" applyBorder="1">
      <alignment vertical="center"/>
    </xf>
    <xf numFmtId="165" fontId="0" fillId="0" borderId="42" xfId="0" applyNumberFormat="1" applyFont="1" applyBorder="1">
      <alignment vertical="center"/>
    </xf>
    <xf numFmtId="165" fontId="0" fillId="0" borderId="27" xfId="0" applyNumberFormat="1" applyFont="1" applyBorder="1" applyAlignment="1">
      <alignment horizontal="center" vertical="center"/>
    </xf>
    <xf numFmtId="165" fontId="0" fillId="0" borderId="44" xfId="0" applyNumberFormat="1" applyFont="1" applyBorder="1" applyAlignment="1">
      <alignment horizontal="center" vertical="center"/>
    </xf>
    <xf numFmtId="165" fontId="0" fillId="0" borderId="12" xfId="0" applyNumberFormat="1" applyFont="1" applyBorder="1" applyAlignment="1">
      <alignment horizontal="center" vertical="center"/>
    </xf>
    <xf numFmtId="165" fontId="0" fillId="0" borderId="17" xfId="0" applyNumberFormat="1" applyFont="1" applyBorder="1" applyAlignment="1">
      <alignment horizontal="center" vertical="center"/>
    </xf>
    <xf numFmtId="165" fontId="0" fillId="0" borderId="30" xfId="0" applyNumberFormat="1" applyFont="1" applyBorder="1">
      <alignment vertical="center"/>
    </xf>
    <xf numFmtId="165" fontId="0" fillId="0" borderId="12" xfId="0" applyNumberFormat="1" applyFont="1" applyBorder="1">
      <alignment vertical="center"/>
    </xf>
    <xf numFmtId="165" fontId="0" fillId="0" borderId="17" xfId="0" applyNumberFormat="1" applyFont="1" applyBorder="1">
      <alignment vertical="center"/>
    </xf>
    <xf numFmtId="165" fontId="0" fillId="0" borderId="27" xfId="0" applyNumberFormat="1" applyFont="1" applyBorder="1">
      <alignment vertical="center"/>
    </xf>
    <xf numFmtId="165" fontId="0" fillId="0" borderId="48" xfId="0" applyNumberFormat="1" applyFont="1" applyBorder="1">
      <alignment vertical="center"/>
    </xf>
    <xf numFmtId="0" fontId="0" fillId="0" borderId="0" xfId="0" applyFont="1" applyFill="1">
      <alignment vertical="center"/>
    </xf>
    <xf numFmtId="0" fontId="9" fillId="2" borderId="11" xfId="0" applyFont="1" applyFill="1" applyBorder="1" applyAlignment="1">
      <alignment horizontal="center" wrapText="1"/>
    </xf>
    <xf numFmtId="166" fontId="9" fillId="2" borderId="11" xfId="0" applyNumberFormat="1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 vertical="center"/>
    </xf>
    <xf numFmtId="166" fontId="0" fillId="0" borderId="11" xfId="0" applyNumberFormat="1" applyFont="1" applyFill="1" applyBorder="1" applyAlignment="1"/>
    <xf numFmtId="0" fontId="0" fillId="0" borderId="9" xfId="0" applyFont="1" applyFill="1" applyBorder="1" applyAlignment="1">
      <alignment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/>
    </xf>
    <xf numFmtId="0" fontId="0" fillId="0" borderId="12" xfId="0" applyFont="1" applyFill="1" applyBorder="1" applyAlignment="1"/>
    <xf numFmtId="166" fontId="0" fillId="0" borderId="12" xfId="0" applyNumberFormat="1" applyFont="1" applyFill="1" applyBorder="1" applyAlignment="1"/>
    <xf numFmtId="166" fontId="0" fillId="0" borderId="26" xfId="0" applyNumberFormat="1" applyFont="1" applyFill="1" applyBorder="1" applyAlignment="1"/>
    <xf numFmtId="166" fontId="0" fillId="0" borderId="27" xfId="0" applyNumberFormat="1" applyFont="1" applyFill="1" applyBorder="1" applyAlignment="1"/>
    <xf numFmtId="0" fontId="0" fillId="0" borderId="27" xfId="0" applyFont="1" applyFill="1" applyBorder="1" applyAlignment="1"/>
    <xf numFmtId="166" fontId="9" fillId="2" borderId="11" xfId="0" applyNumberFormat="1" applyFont="1" applyFill="1" applyBorder="1" applyAlignment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166" fontId="0" fillId="0" borderId="26" xfId="0" applyNumberFormat="1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9" fillId="2" borderId="7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/>
    </xf>
    <xf numFmtId="0" fontId="6" fillId="2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10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</cellXfs>
  <cellStyles count="4">
    <cellStyle name="Comma [0]" xfId="1" builtinId="6"/>
    <cellStyle name="Currency" xfId="3" builtinId="4"/>
    <cellStyle name="Currency [0]" xfId="2" builtinId="7"/>
    <cellStyle name="Normal" xfId="0" builtinId="0"/>
  </cellStyles>
  <dxfs count="0"/>
  <tableStyles count="0" defaultTableStyle="TableStyleMedium2" defaultPivotStyle="PivotStyleLight16"/>
  <colors>
    <mruColors>
      <color rgb="FFF9F88C"/>
      <color rgb="FFE28CE1"/>
      <color rgb="FFEDA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k/Downloads/fadali%202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k/Downloads/PT.%20FADALI%20FURNITUR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DATA"/>
      <sheetName val="JURNAL UMUM"/>
      <sheetName val="BUKU PIUTANG"/>
      <sheetName val="BUKU UTANG"/>
      <sheetName val="BUKU PERSEDIAAN"/>
      <sheetName val="BUKU BESAR"/>
      <sheetName val="NERACA SALDO"/>
      <sheetName val="LABA RUGI"/>
      <sheetName val="LAPORAN LABA DITAHAN"/>
      <sheetName val="LAPORAN PERUBAHAN LABA DITAHAN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DATA"/>
      <sheetName val="JURNAL UMUM "/>
      <sheetName val="BUKU BANTU HUTANG"/>
      <sheetName val="BUKU BANTU PIUTANG"/>
      <sheetName val="BUKU BANTU PERSEDIAAN "/>
      <sheetName val="BUKU BESAR"/>
      <sheetName val="NERACA SALDO"/>
      <sheetName val="LAPORAN LABA RUGI"/>
      <sheetName val="LAPORAN PERUBAHAN LABA "/>
      <sheetName val="NERACA"/>
    </sheetNames>
    <sheetDataSet>
      <sheetData sheetId="0">
        <row r="6">
          <cell r="A6">
            <v>11100</v>
          </cell>
          <cell r="B6" t="str">
            <v>Kas</v>
          </cell>
          <cell r="C6">
            <v>0</v>
          </cell>
          <cell r="D6">
            <v>0</v>
          </cell>
          <cell r="E6">
            <v>0</v>
          </cell>
        </row>
        <row r="7">
          <cell r="A7">
            <v>11101</v>
          </cell>
          <cell r="B7" t="str">
            <v>Kas di tangan</v>
          </cell>
          <cell r="C7">
            <v>0</v>
          </cell>
          <cell r="D7">
            <v>2500000</v>
          </cell>
          <cell r="E7">
            <v>0</v>
          </cell>
        </row>
        <row r="8">
          <cell r="A8">
            <v>11102</v>
          </cell>
          <cell r="B8" t="str">
            <v>Kas Kecil</v>
          </cell>
          <cell r="C8">
            <v>0</v>
          </cell>
          <cell r="D8">
            <v>750000</v>
          </cell>
          <cell r="E8">
            <v>0</v>
          </cell>
        </row>
        <row r="9">
          <cell r="A9">
            <v>11200</v>
          </cell>
          <cell r="B9" t="str">
            <v>Bank</v>
          </cell>
          <cell r="C9">
            <v>0</v>
          </cell>
          <cell r="D9">
            <v>0</v>
          </cell>
          <cell r="E9">
            <v>0</v>
          </cell>
        </row>
        <row r="10">
          <cell r="A10">
            <v>11201</v>
          </cell>
          <cell r="B10" t="str">
            <v>Bank BCA</v>
          </cell>
          <cell r="C10">
            <v>0</v>
          </cell>
          <cell r="D10">
            <v>45000000</v>
          </cell>
          <cell r="E10">
            <v>0</v>
          </cell>
        </row>
        <row r="11">
          <cell r="A11">
            <v>11202</v>
          </cell>
          <cell r="B11" t="str">
            <v>Bank Mandiri</v>
          </cell>
          <cell r="C11">
            <v>0</v>
          </cell>
          <cell r="D11">
            <v>25000000</v>
          </cell>
          <cell r="E11">
            <v>0</v>
          </cell>
        </row>
        <row r="12">
          <cell r="A12">
            <v>11300</v>
          </cell>
          <cell r="B12" t="str">
            <v>Piutang Usaha Bersih</v>
          </cell>
          <cell r="C12">
            <v>0</v>
          </cell>
          <cell r="D12">
            <v>0</v>
          </cell>
          <cell r="E12">
            <v>0</v>
          </cell>
        </row>
        <row r="13">
          <cell r="A13">
            <v>11301</v>
          </cell>
          <cell r="B13" t="str">
            <v>Piutang Usaha</v>
          </cell>
          <cell r="C13">
            <v>0</v>
          </cell>
          <cell r="D13">
            <v>47500000</v>
          </cell>
          <cell r="E13">
            <v>0</v>
          </cell>
        </row>
        <row r="14">
          <cell r="A14">
            <v>11302</v>
          </cell>
          <cell r="B14" t="str">
            <v>Cadangan Piutang Tak tertagih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11400</v>
          </cell>
          <cell r="B15" t="str">
            <v>Piutang Lain-lain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11401</v>
          </cell>
          <cell r="B16" t="str">
            <v>Piutang Karyawan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11500</v>
          </cell>
          <cell r="B17" t="str">
            <v>Persediaan Barang Dagangan</v>
          </cell>
          <cell r="C17">
            <v>0</v>
          </cell>
          <cell r="D17">
            <v>166380000</v>
          </cell>
          <cell r="E17">
            <v>0</v>
          </cell>
        </row>
        <row r="18">
          <cell r="A18">
            <v>11600</v>
          </cell>
          <cell r="B18" t="str">
            <v>Pembayaran di muka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11601</v>
          </cell>
          <cell r="B19" t="str">
            <v>PPN Masukan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11602</v>
          </cell>
          <cell r="B20" t="str">
            <v>Uang Muka Pembelian</v>
          </cell>
          <cell r="C20">
            <v>0</v>
          </cell>
          <cell r="D20">
            <v>0</v>
          </cell>
          <cell r="E20">
            <v>0</v>
          </cell>
        </row>
        <row r="21">
          <cell r="A21">
            <v>12100</v>
          </cell>
          <cell r="B21" t="str">
            <v>Nilai Buku Peralatan Kantor</v>
          </cell>
          <cell r="C21">
            <v>0</v>
          </cell>
          <cell r="D21">
            <v>0</v>
          </cell>
          <cell r="E21">
            <v>0</v>
          </cell>
        </row>
        <row r="22">
          <cell r="A22">
            <v>12101</v>
          </cell>
          <cell r="B22" t="str">
            <v>Peralatan Kantor</v>
          </cell>
          <cell r="C22">
            <v>0</v>
          </cell>
          <cell r="D22">
            <v>25000000</v>
          </cell>
          <cell r="E22">
            <v>0</v>
          </cell>
        </row>
        <row r="23">
          <cell r="A23">
            <v>12102</v>
          </cell>
          <cell r="B23" t="str">
            <v>Akumulasi penyusutan peralatan kantor</v>
          </cell>
          <cell r="C23">
            <v>0</v>
          </cell>
          <cell r="D23">
            <v>0</v>
          </cell>
          <cell r="E23">
            <v>7500000</v>
          </cell>
        </row>
        <row r="24">
          <cell r="A24">
            <v>12200</v>
          </cell>
          <cell r="B24" t="str">
            <v>Nilai Buku Kendaraan</v>
          </cell>
          <cell r="C24">
            <v>0</v>
          </cell>
          <cell r="D24">
            <v>0</v>
          </cell>
          <cell r="E24">
            <v>0</v>
          </cell>
        </row>
        <row r="25">
          <cell r="A25">
            <v>12201</v>
          </cell>
          <cell r="B25" t="str">
            <v>Kendaraan</v>
          </cell>
          <cell r="C25">
            <v>0</v>
          </cell>
          <cell r="D25">
            <v>45000000</v>
          </cell>
          <cell r="E25">
            <v>0</v>
          </cell>
        </row>
        <row r="26">
          <cell r="A26">
            <v>12202</v>
          </cell>
          <cell r="B26" t="str">
            <v>Akumulasi penyusutan Kendaraan</v>
          </cell>
          <cell r="C26">
            <v>0</v>
          </cell>
          <cell r="D26">
            <v>0</v>
          </cell>
          <cell r="E26">
            <v>25000000</v>
          </cell>
        </row>
        <row r="27">
          <cell r="A27">
            <v>21100</v>
          </cell>
          <cell r="B27" t="str">
            <v>Hutang Usaha</v>
          </cell>
          <cell r="C27">
            <v>0</v>
          </cell>
          <cell r="D27">
            <v>0</v>
          </cell>
          <cell r="E27">
            <v>75000000</v>
          </cell>
        </row>
        <row r="28">
          <cell r="A28">
            <v>21200</v>
          </cell>
          <cell r="B28" t="str">
            <v>Pendapatan diterima dimuka-Jasa Kirim</v>
          </cell>
          <cell r="C28">
            <v>0</v>
          </cell>
          <cell r="D28">
            <v>0</v>
          </cell>
          <cell r="E28">
            <v>0</v>
          </cell>
        </row>
        <row r="29">
          <cell r="A29">
            <v>21300</v>
          </cell>
          <cell r="B29" t="str">
            <v>Hutang Bunga</v>
          </cell>
          <cell r="C29">
            <v>0</v>
          </cell>
          <cell r="D29">
            <v>0</v>
          </cell>
          <cell r="E29">
            <v>0</v>
          </cell>
        </row>
        <row r="30">
          <cell r="A30">
            <v>21400</v>
          </cell>
          <cell r="B30" t="str">
            <v>Hutang Pajak</v>
          </cell>
          <cell r="C30">
            <v>0</v>
          </cell>
          <cell r="D30">
            <v>0</v>
          </cell>
          <cell r="E30">
            <v>0</v>
          </cell>
        </row>
        <row r="31">
          <cell r="A31">
            <v>21401</v>
          </cell>
          <cell r="B31" t="str">
            <v>Utang PPh pasal 21</v>
          </cell>
          <cell r="C31">
            <v>0</v>
          </cell>
          <cell r="D31">
            <v>0</v>
          </cell>
          <cell r="E31">
            <v>0</v>
          </cell>
        </row>
        <row r="32">
          <cell r="A32">
            <v>21402</v>
          </cell>
          <cell r="B32" t="str">
            <v>Utang PPh pasal 4</v>
          </cell>
          <cell r="C32">
            <v>0</v>
          </cell>
          <cell r="D32">
            <v>0</v>
          </cell>
          <cell r="E32">
            <v>0</v>
          </cell>
        </row>
        <row r="33">
          <cell r="A33">
            <v>21403</v>
          </cell>
          <cell r="B33" t="str">
            <v>PPN Keluaran</v>
          </cell>
          <cell r="C33">
            <v>0</v>
          </cell>
          <cell r="D33">
            <v>0</v>
          </cell>
          <cell r="E33">
            <v>0</v>
          </cell>
        </row>
        <row r="34">
          <cell r="A34">
            <v>22001</v>
          </cell>
          <cell r="B34" t="str">
            <v>Hutang Bank Mandiri</v>
          </cell>
          <cell r="C34">
            <v>0</v>
          </cell>
          <cell r="D34">
            <v>0</v>
          </cell>
          <cell r="E34">
            <v>75000000</v>
          </cell>
        </row>
        <row r="35">
          <cell r="A35">
            <v>31000</v>
          </cell>
          <cell r="B35" t="str">
            <v>Modal Saham</v>
          </cell>
          <cell r="C35">
            <v>0</v>
          </cell>
          <cell r="D35">
            <v>0</v>
          </cell>
          <cell r="E35">
            <v>150000000</v>
          </cell>
        </row>
        <row r="36">
          <cell r="A36">
            <v>32000</v>
          </cell>
          <cell r="B36" t="str">
            <v>Laba Ditahan Periode Lalu</v>
          </cell>
          <cell r="C36">
            <v>0</v>
          </cell>
          <cell r="D36">
            <v>0</v>
          </cell>
          <cell r="E36">
            <v>24630000</v>
          </cell>
        </row>
        <row r="37">
          <cell r="A37">
            <v>33000</v>
          </cell>
          <cell r="B37" t="str">
            <v>Laba Ditahan Periode Berjalan</v>
          </cell>
          <cell r="C37">
            <v>0</v>
          </cell>
          <cell r="D37">
            <v>0</v>
          </cell>
          <cell r="E37">
            <v>0</v>
          </cell>
        </row>
        <row r="38">
          <cell r="A38">
            <v>39999</v>
          </cell>
          <cell r="B38" t="str">
            <v>Perkiraan Penyeimbang</v>
          </cell>
          <cell r="C38">
            <v>0</v>
          </cell>
          <cell r="D38">
            <v>0</v>
          </cell>
          <cell r="E38">
            <v>0</v>
          </cell>
        </row>
        <row r="39">
          <cell r="A39">
            <v>41000</v>
          </cell>
          <cell r="B39" t="str">
            <v>Penjualan</v>
          </cell>
          <cell r="C39">
            <v>0</v>
          </cell>
          <cell r="D39">
            <v>0</v>
          </cell>
          <cell r="E39">
            <v>0</v>
          </cell>
        </row>
        <row r="40">
          <cell r="A40">
            <v>42000</v>
          </cell>
          <cell r="B40" t="str">
            <v>Retur Penjualan</v>
          </cell>
          <cell r="C40">
            <v>0</v>
          </cell>
          <cell r="D40">
            <v>0</v>
          </cell>
          <cell r="E40">
            <v>0</v>
          </cell>
        </row>
        <row r="41">
          <cell r="A41">
            <v>43000</v>
          </cell>
          <cell r="B41" t="str">
            <v>Potongan Penjualan</v>
          </cell>
          <cell r="C41">
            <v>0</v>
          </cell>
          <cell r="D41">
            <v>0</v>
          </cell>
          <cell r="E41">
            <v>0</v>
          </cell>
        </row>
        <row r="42">
          <cell r="A42">
            <v>51000</v>
          </cell>
          <cell r="B42" t="str">
            <v>Harga Pokok Penjualan</v>
          </cell>
          <cell r="C42">
            <v>0</v>
          </cell>
          <cell r="D42">
            <v>0</v>
          </cell>
          <cell r="E42">
            <v>0</v>
          </cell>
        </row>
        <row r="43">
          <cell r="A43">
            <v>61001</v>
          </cell>
          <cell r="B43" t="str">
            <v>Beban Gaji Karyawan</v>
          </cell>
          <cell r="C43">
            <v>0</v>
          </cell>
          <cell r="D43">
            <v>0</v>
          </cell>
          <cell r="E43">
            <v>0</v>
          </cell>
        </row>
        <row r="44">
          <cell r="A44">
            <v>61002</v>
          </cell>
          <cell r="B44" t="str">
            <v>Beban Sewa</v>
          </cell>
          <cell r="C44">
            <v>0</v>
          </cell>
          <cell r="D44">
            <v>0</v>
          </cell>
          <cell r="E44">
            <v>0</v>
          </cell>
        </row>
        <row r="45">
          <cell r="A45">
            <v>61003</v>
          </cell>
          <cell r="B45" t="str">
            <v>Beban Piutang Tak Tertagih</v>
          </cell>
          <cell r="C45">
            <v>0</v>
          </cell>
          <cell r="D45">
            <v>0</v>
          </cell>
          <cell r="E45">
            <v>0</v>
          </cell>
        </row>
        <row r="46">
          <cell r="A46">
            <v>61004</v>
          </cell>
          <cell r="B46" t="str">
            <v>Beban Listrik</v>
          </cell>
          <cell r="C46">
            <v>0</v>
          </cell>
          <cell r="D46">
            <v>0</v>
          </cell>
          <cell r="E46">
            <v>0</v>
          </cell>
        </row>
        <row r="47">
          <cell r="A47">
            <v>61005</v>
          </cell>
          <cell r="B47" t="str">
            <v>Beban Telepon</v>
          </cell>
          <cell r="C47">
            <v>0</v>
          </cell>
          <cell r="D47">
            <v>0</v>
          </cell>
          <cell r="E47">
            <v>0</v>
          </cell>
        </row>
        <row r="48">
          <cell r="A48">
            <v>61006</v>
          </cell>
          <cell r="B48" t="str">
            <v>Beban Penyusutan Peralatan Kantor</v>
          </cell>
          <cell r="C48">
            <v>0</v>
          </cell>
          <cell r="D48">
            <v>0</v>
          </cell>
          <cell r="E48">
            <v>0</v>
          </cell>
        </row>
        <row r="49">
          <cell r="A49">
            <v>61007</v>
          </cell>
          <cell r="B49" t="str">
            <v>Beban Penyusutan Kendaraan</v>
          </cell>
          <cell r="C49">
            <v>0</v>
          </cell>
          <cell r="D49">
            <v>0</v>
          </cell>
          <cell r="E49">
            <v>0</v>
          </cell>
        </row>
        <row r="50">
          <cell r="A50">
            <v>61008</v>
          </cell>
          <cell r="B50" t="str">
            <v>Beban Pemasaran</v>
          </cell>
          <cell r="C50">
            <v>0</v>
          </cell>
          <cell r="D50">
            <v>0</v>
          </cell>
          <cell r="E50">
            <v>0</v>
          </cell>
        </row>
        <row r="51">
          <cell r="A51">
            <v>61009</v>
          </cell>
          <cell r="B51" t="str">
            <v>Beban Trasportasi</v>
          </cell>
          <cell r="C51">
            <v>0</v>
          </cell>
          <cell r="D51">
            <v>0</v>
          </cell>
          <cell r="E51">
            <v>0</v>
          </cell>
        </row>
        <row r="52">
          <cell r="A52">
            <v>61010</v>
          </cell>
          <cell r="B52" t="str">
            <v>Beban Perawatan AC</v>
          </cell>
          <cell r="C52">
            <v>0</v>
          </cell>
          <cell r="D52">
            <v>0</v>
          </cell>
          <cell r="E52">
            <v>0</v>
          </cell>
        </row>
        <row r="53">
          <cell r="A53">
            <v>61011</v>
          </cell>
          <cell r="B53" t="str">
            <v>Beban Perlengkapan Kantor</v>
          </cell>
          <cell r="C53">
            <v>0</v>
          </cell>
          <cell r="D53">
            <v>0</v>
          </cell>
          <cell r="E53">
            <v>0</v>
          </cell>
        </row>
        <row r="54">
          <cell r="A54">
            <v>61099</v>
          </cell>
          <cell r="B54" t="str">
            <v>Beban Umum Lain-Lain</v>
          </cell>
          <cell r="C54">
            <v>0</v>
          </cell>
          <cell r="D54">
            <v>0</v>
          </cell>
          <cell r="E54">
            <v>0</v>
          </cell>
        </row>
        <row r="55">
          <cell r="A55">
            <v>81001</v>
          </cell>
          <cell r="B55" t="str">
            <v>Laba Penjualan Aktiva Tetap</v>
          </cell>
          <cell r="C55">
            <v>0</v>
          </cell>
          <cell r="D55">
            <v>0</v>
          </cell>
          <cell r="E55">
            <v>0</v>
          </cell>
        </row>
        <row r="56">
          <cell r="A56">
            <v>81002</v>
          </cell>
          <cell r="B56" t="str">
            <v>Pendapatan Jasa Giro</v>
          </cell>
          <cell r="C56">
            <v>0</v>
          </cell>
          <cell r="D56">
            <v>0</v>
          </cell>
          <cell r="E56">
            <v>0</v>
          </cell>
        </row>
        <row r="57">
          <cell r="A57">
            <v>91001</v>
          </cell>
          <cell r="B57" t="str">
            <v>Beban Administrasi Bank</v>
          </cell>
          <cell r="C57">
            <v>0</v>
          </cell>
          <cell r="D57">
            <v>0</v>
          </cell>
          <cell r="E57">
            <v>0</v>
          </cell>
        </row>
        <row r="58">
          <cell r="A58">
            <v>91002</v>
          </cell>
          <cell r="B58" t="str">
            <v>Beban Bunga</v>
          </cell>
          <cell r="C58">
            <v>0</v>
          </cell>
          <cell r="D58">
            <v>0</v>
          </cell>
          <cell r="E5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opLeftCell="A37" workbookViewId="0">
      <selection activeCell="D44" sqref="D44"/>
    </sheetView>
  </sheetViews>
  <sheetFormatPr defaultColWidth="9.140625" defaultRowHeight="15"/>
  <cols>
    <col min="1" max="1" width="12" style="177" customWidth="1"/>
    <col min="2" max="2" width="35.42578125" style="176" customWidth="1"/>
    <col min="3" max="3" width="15.28515625" style="176" customWidth="1"/>
    <col min="4" max="4" width="16.42578125" style="176" customWidth="1"/>
    <col min="5" max="6" width="9.140625" style="176"/>
    <col min="7" max="7" width="15.85546875" style="176" customWidth="1"/>
    <col min="8" max="8" width="26.42578125" style="176" customWidth="1"/>
    <col min="9" max="9" width="15.7109375" style="176" customWidth="1"/>
    <col min="10" max="10" width="14.7109375" style="176" customWidth="1"/>
    <col min="11" max="11" width="18" style="176" customWidth="1"/>
    <col min="12" max="12" width="9.140625" style="176"/>
    <col min="13" max="13" width="16.140625" style="176" customWidth="1"/>
    <col min="14" max="14" width="14.85546875" style="176" customWidth="1"/>
    <col min="15" max="16384" width="9.140625" style="176"/>
  </cols>
  <sheetData>
    <row r="1" spans="1:14">
      <c r="A1" s="285" t="s">
        <v>0</v>
      </c>
      <c r="B1" s="286"/>
      <c r="C1" s="286"/>
      <c r="D1" s="287"/>
      <c r="E1" s="136"/>
      <c r="F1" s="136"/>
      <c r="G1" s="285" t="s">
        <v>0</v>
      </c>
      <c r="H1" s="286"/>
      <c r="I1" s="286"/>
      <c r="J1" s="286"/>
      <c r="K1" s="286"/>
      <c r="L1" s="286"/>
      <c r="M1" s="286"/>
      <c r="N1" s="287"/>
    </row>
    <row r="2" spans="1:14">
      <c r="A2" s="288" t="s">
        <v>1</v>
      </c>
      <c r="B2" s="289"/>
      <c r="C2" s="289"/>
      <c r="D2" s="290"/>
      <c r="E2" s="136"/>
      <c r="F2" s="136"/>
      <c r="G2" s="288" t="s">
        <v>1</v>
      </c>
      <c r="H2" s="289"/>
      <c r="I2" s="289"/>
      <c r="J2" s="289"/>
      <c r="K2" s="289"/>
      <c r="L2" s="289"/>
      <c r="M2" s="289"/>
      <c r="N2" s="290"/>
    </row>
    <row r="3" spans="1:14">
      <c r="A3" s="291" t="s">
        <v>2</v>
      </c>
      <c r="B3" s="292"/>
      <c r="C3" s="292"/>
      <c r="D3" s="293"/>
      <c r="E3" s="136"/>
      <c r="F3" s="136"/>
      <c r="G3" s="291" t="s">
        <v>3</v>
      </c>
      <c r="H3" s="292"/>
      <c r="I3" s="292"/>
      <c r="J3" s="292"/>
      <c r="K3" s="292"/>
      <c r="L3" s="292"/>
      <c r="M3" s="292"/>
      <c r="N3" s="293"/>
    </row>
    <row r="4" spans="1:14" s="270" customFormat="1">
      <c r="A4" s="170"/>
      <c r="B4" s="170"/>
      <c r="C4" s="170"/>
      <c r="D4" s="170"/>
      <c r="E4" s="136"/>
      <c r="F4" s="136"/>
      <c r="G4" s="170"/>
      <c r="H4" s="170"/>
      <c r="I4" s="170"/>
      <c r="J4" s="170"/>
      <c r="K4" s="170"/>
      <c r="L4" s="170"/>
      <c r="M4" s="170"/>
      <c r="N4" s="170"/>
    </row>
    <row r="5" spans="1:14">
      <c r="A5" s="153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1:14">
      <c r="A6" s="271" t="s">
        <v>4</v>
      </c>
      <c r="B6" s="84" t="s">
        <v>5</v>
      </c>
      <c r="C6" s="272" t="s">
        <v>6</v>
      </c>
      <c r="D6" s="272" t="s">
        <v>7</v>
      </c>
      <c r="E6" s="136"/>
      <c r="F6" s="136"/>
      <c r="G6" s="299" t="s">
        <v>8</v>
      </c>
      <c r="H6" s="301" t="s">
        <v>9</v>
      </c>
      <c r="I6" s="301" t="s">
        <v>10</v>
      </c>
      <c r="J6" s="273" t="s">
        <v>11</v>
      </c>
      <c r="K6" s="278" t="s">
        <v>11</v>
      </c>
      <c r="L6" s="294" t="s">
        <v>12</v>
      </c>
      <c r="M6" s="294"/>
      <c r="N6" s="295"/>
    </row>
    <row r="7" spans="1:14">
      <c r="A7" s="159">
        <v>10000</v>
      </c>
      <c r="B7" s="89" t="s">
        <v>13</v>
      </c>
      <c r="C7" s="274"/>
      <c r="D7" s="274"/>
      <c r="E7" s="136"/>
      <c r="F7" s="136"/>
      <c r="G7" s="300"/>
      <c r="H7" s="302"/>
      <c r="I7" s="302"/>
      <c r="J7" s="83" t="s">
        <v>14</v>
      </c>
      <c r="K7" s="84" t="s">
        <v>15</v>
      </c>
      <c r="L7" s="86" t="s">
        <v>16</v>
      </c>
      <c r="M7" s="86" t="s">
        <v>17</v>
      </c>
      <c r="N7" s="87" t="s">
        <v>18</v>
      </c>
    </row>
    <row r="8" spans="1:14">
      <c r="A8" s="159">
        <v>11000</v>
      </c>
      <c r="B8" s="89" t="s">
        <v>19</v>
      </c>
      <c r="C8" s="274"/>
      <c r="D8" s="274"/>
      <c r="E8" s="136"/>
      <c r="F8" s="136"/>
      <c r="G8" s="275" t="s">
        <v>20</v>
      </c>
      <c r="H8" s="89"/>
      <c r="I8" s="89"/>
      <c r="J8" s="89"/>
      <c r="K8" s="89"/>
      <c r="L8" s="89"/>
      <c r="M8" s="89"/>
      <c r="N8" s="279"/>
    </row>
    <row r="9" spans="1:14">
      <c r="A9" s="159">
        <v>11100</v>
      </c>
      <c r="B9" s="89" t="s">
        <v>21</v>
      </c>
      <c r="C9" s="274"/>
      <c r="D9" s="274"/>
      <c r="E9" s="136"/>
      <c r="F9" s="136"/>
      <c r="G9" s="275" t="s">
        <v>22</v>
      </c>
      <c r="H9" s="89" t="s">
        <v>23</v>
      </c>
      <c r="I9" s="159" t="s">
        <v>24</v>
      </c>
      <c r="J9" s="274">
        <v>1200000</v>
      </c>
      <c r="K9" s="274">
        <v>1500000</v>
      </c>
      <c r="L9" s="274">
        <v>15</v>
      </c>
      <c r="M9" s="274">
        <v>1200000</v>
      </c>
      <c r="N9" s="280">
        <v>18000000</v>
      </c>
    </row>
    <row r="10" spans="1:14">
      <c r="A10" s="159">
        <v>11101</v>
      </c>
      <c r="B10" s="89" t="s">
        <v>25</v>
      </c>
      <c r="C10" s="274">
        <v>2500000</v>
      </c>
      <c r="D10" s="274"/>
      <c r="E10" s="136"/>
      <c r="F10" s="136"/>
      <c r="G10" s="275" t="s">
        <v>26</v>
      </c>
      <c r="H10" s="89" t="s">
        <v>27</v>
      </c>
      <c r="I10" s="159" t="s">
        <v>24</v>
      </c>
      <c r="J10" s="274">
        <v>325000</v>
      </c>
      <c r="K10" s="274">
        <v>375000</v>
      </c>
      <c r="L10" s="274">
        <v>50</v>
      </c>
      <c r="M10" s="274">
        <v>325000</v>
      </c>
      <c r="N10" s="280">
        <v>16250000</v>
      </c>
    </row>
    <row r="11" spans="1:14">
      <c r="A11" s="159">
        <v>11102</v>
      </c>
      <c r="B11" s="89" t="s">
        <v>28</v>
      </c>
      <c r="C11" s="274">
        <v>750000</v>
      </c>
      <c r="D11" s="274"/>
      <c r="E11" s="136"/>
      <c r="F11" s="136"/>
      <c r="G11" s="275" t="s">
        <v>29</v>
      </c>
      <c r="H11" s="89" t="s">
        <v>30</v>
      </c>
      <c r="I11" s="159" t="s">
        <v>24</v>
      </c>
      <c r="J11" s="274">
        <v>1400000</v>
      </c>
      <c r="K11" s="274">
        <v>1750000</v>
      </c>
      <c r="L11" s="274">
        <v>20</v>
      </c>
      <c r="M11" s="274">
        <v>1400000</v>
      </c>
      <c r="N11" s="280">
        <v>28000000</v>
      </c>
    </row>
    <row r="12" spans="1:14">
      <c r="A12" s="159">
        <v>11200</v>
      </c>
      <c r="B12" s="89" t="s">
        <v>31</v>
      </c>
      <c r="C12" s="274"/>
      <c r="D12" s="274"/>
      <c r="E12" s="136"/>
      <c r="F12" s="136"/>
      <c r="G12" s="275" t="s">
        <v>32</v>
      </c>
      <c r="H12" s="89" t="s">
        <v>33</v>
      </c>
      <c r="I12" s="159" t="s">
        <v>24</v>
      </c>
      <c r="J12" s="274">
        <v>1200000</v>
      </c>
      <c r="K12" s="274">
        <v>1500000</v>
      </c>
      <c r="L12" s="274">
        <v>15</v>
      </c>
      <c r="M12" s="274">
        <v>1200000</v>
      </c>
      <c r="N12" s="280">
        <v>18000000</v>
      </c>
    </row>
    <row r="13" spans="1:14">
      <c r="A13" s="159">
        <v>11201</v>
      </c>
      <c r="B13" s="89" t="s">
        <v>34</v>
      </c>
      <c r="C13" s="274">
        <v>45000000</v>
      </c>
      <c r="D13" s="274"/>
      <c r="E13" s="136"/>
      <c r="F13" s="136"/>
      <c r="G13" s="275" t="s">
        <v>35</v>
      </c>
      <c r="H13" s="89"/>
      <c r="I13" s="159"/>
      <c r="J13" s="274"/>
      <c r="K13" s="274"/>
      <c r="L13" s="274"/>
      <c r="M13" s="274"/>
      <c r="N13" s="280"/>
    </row>
    <row r="14" spans="1:14">
      <c r="A14" s="159">
        <v>11202</v>
      </c>
      <c r="B14" s="89" t="s">
        <v>36</v>
      </c>
      <c r="C14" s="274">
        <v>25000000</v>
      </c>
      <c r="D14" s="274"/>
      <c r="E14" s="136"/>
      <c r="F14" s="136"/>
      <c r="G14" s="275" t="s">
        <v>37</v>
      </c>
      <c r="H14" s="89" t="s">
        <v>38</v>
      </c>
      <c r="I14" s="159" t="s">
        <v>24</v>
      </c>
      <c r="J14" s="274">
        <v>2850000</v>
      </c>
      <c r="K14" s="274">
        <v>3375000</v>
      </c>
      <c r="L14" s="274">
        <v>8</v>
      </c>
      <c r="M14" s="274">
        <v>2850000</v>
      </c>
      <c r="N14" s="280">
        <v>22800000</v>
      </c>
    </row>
    <row r="15" spans="1:14">
      <c r="A15" s="159">
        <v>11300</v>
      </c>
      <c r="B15" s="89" t="s">
        <v>39</v>
      </c>
      <c r="C15" s="274"/>
      <c r="D15" s="274"/>
      <c r="E15" s="136"/>
      <c r="F15" s="136"/>
      <c r="G15" s="275" t="s">
        <v>40</v>
      </c>
      <c r="H15" s="89" t="s">
        <v>41</v>
      </c>
      <c r="I15" s="159" t="s">
        <v>24</v>
      </c>
      <c r="J15" s="274">
        <v>590000</v>
      </c>
      <c r="K15" s="274">
        <v>750000</v>
      </c>
      <c r="L15" s="274">
        <v>12</v>
      </c>
      <c r="M15" s="274">
        <v>590000</v>
      </c>
      <c r="N15" s="280">
        <v>7080000</v>
      </c>
    </row>
    <row r="16" spans="1:14">
      <c r="A16" s="159">
        <v>11301</v>
      </c>
      <c r="B16" s="89" t="s">
        <v>42</v>
      </c>
      <c r="C16" s="274">
        <v>47500000</v>
      </c>
      <c r="D16" s="274"/>
      <c r="E16" s="136"/>
      <c r="F16" s="136"/>
      <c r="G16" s="275" t="s">
        <v>43</v>
      </c>
      <c r="H16" s="89"/>
      <c r="I16" s="159"/>
      <c r="J16" s="274"/>
      <c r="K16" s="274"/>
      <c r="L16" s="274"/>
      <c r="M16" s="274"/>
      <c r="N16" s="280"/>
    </row>
    <row r="17" spans="1:14">
      <c r="A17" s="159">
        <v>11302</v>
      </c>
      <c r="B17" s="89" t="s">
        <v>44</v>
      </c>
      <c r="C17" s="274"/>
      <c r="D17" s="274"/>
      <c r="E17" s="136"/>
      <c r="F17" s="136"/>
      <c r="G17" s="275" t="s">
        <v>45</v>
      </c>
      <c r="H17" s="89" t="s">
        <v>46</v>
      </c>
      <c r="I17" s="159" t="s">
        <v>24</v>
      </c>
      <c r="J17" s="274">
        <v>1300000</v>
      </c>
      <c r="K17" s="274">
        <v>1650000</v>
      </c>
      <c r="L17" s="274">
        <v>15</v>
      </c>
      <c r="M17" s="274">
        <v>1300000</v>
      </c>
      <c r="N17" s="280">
        <v>19500000</v>
      </c>
    </row>
    <row r="18" spans="1:14">
      <c r="A18" s="159">
        <v>11400</v>
      </c>
      <c r="B18" s="89" t="s">
        <v>47</v>
      </c>
      <c r="C18" s="274"/>
      <c r="D18" s="274"/>
      <c r="E18" s="136"/>
      <c r="F18" s="136"/>
      <c r="G18" s="275" t="s">
        <v>48</v>
      </c>
      <c r="H18" s="89" t="s">
        <v>49</v>
      </c>
      <c r="I18" s="159" t="s">
        <v>24</v>
      </c>
      <c r="J18" s="274">
        <v>1750000</v>
      </c>
      <c r="K18" s="274">
        <v>2100000</v>
      </c>
      <c r="L18" s="274">
        <v>12</v>
      </c>
      <c r="M18" s="274">
        <v>1750000</v>
      </c>
      <c r="N18" s="280">
        <v>21000000</v>
      </c>
    </row>
    <row r="19" spans="1:14">
      <c r="A19" s="159">
        <v>11401</v>
      </c>
      <c r="B19" s="89" t="s">
        <v>50</v>
      </c>
      <c r="C19" s="274"/>
      <c r="D19" s="274"/>
      <c r="E19" s="136"/>
      <c r="F19" s="136"/>
      <c r="G19" s="275" t="s">
        <v>51</v>
      </c>
      <c r="H19" s="89" t="s">
        <v>52</v>
      </c>
      <c r="I19" s="159" t="s">
        <v>24</v>
      </c>
      <c r="J19" s="274">
        <v>1050000</v>
      </c>
      <c r="K19" s="274">
        <v>1450000</v>
      </c>
      <c r="L19" s="274">
        <v>15</v>
      </c>
      <c r="M19" s="274">
        <v>1050000</v>
      </c>
      <c r="N19" s="280">
        <v>15750000</v>
      </c>
    </row>
    <row r="20" spans="1:14">
      <c r="A20" s="159">
        <v>11500</v>
      </c>
      <c r="B20" s="89" t="s">
        <v>53</v>
      </c>
      <c r="C20" s="274">
        <v>166380000</v>
      </c>
      <c r="D20" s="274"/>
      <c r="E20" s="136"/>
      <c r="F20" s="136"/>
      <c r="G20" s="123"/>
      <c r="H20" s="89"/>
      <c r="I20" s="159"/>
      <c r="J20" s="274"/>
      <c r="K20" s="274"/>
      <c r="L20" s="274"/>
      <c r="M20" s="274"/>
      <c r="N20" s="280"/>
    </row>
    <row r="21" spans="1:14">
      <c r="A21" s="159">
        <v>11600</v>
      </c>
      <c r="B21" s="89" t="s">
        <v>54</v>
      </c>
      <c r="C21" s="274"/>
      <c r="D21" s="274"/>
      <c r="E21" s="136"/>
      <c r="F21" s="136"/>
      <c r="G21" s="102"/>
      <c r="H21" s="98"/>
      <c r="I21" s="163"/>
      <c r="J21" s="281"/>
      <c r="K21" s="281"/>
      <c r="L21" s="296" t="s">
        <v>55</v>
      </c>
      <c r="M21" s="296"/>
      <c r="N21" s="282">
        <f>SUM(N9:N19)</f>
        <v>166380000</v>
      </c>
    </row>
    <row r="22" spans="1:14">
      <c r="A22" s="159">
        <v>11601</v>
      </c>
      <c r="B22" s="89" t="s">
        <v>56</v>
      </c>
      <c r="C22" s="274"/>
      <c r="D22" s="274"/>
      <c r="E22" s="136"/>
      <c r="F22" s="136"/>
      <c r="G22" s="136"/>
      <c r="H22" s="136"/>
      <c r="I22" s="136"/>
      <c r="J22" s="136"/>
      <c r="K22" s="136"/>
      <c r="L22" s="136"/>
      <c r="M22" s="136"/>
      <c r="N22" s="136"/>
    </row>
    <row r="23" spans="1:14">
      <c r="A23" s="159">
        <v>11602</v>
      </c>
      <c r="B23" s="89" t="s">
        <v>57</v>
      </c>
      <c r="C23" s="274"/>
      <c r="D23" s="274"/>
      <c r="E23" s="136"/>
      <c r="F23" s="136"/>
      <c r="G23" s="285" t="s">
        <v>0</v>
      </c>
      <c r="H23" s="286"/>
      <c r="I23" s="287"/>
      <c r="J23" s="136"/>
      <c r="K23" s="136"/>
      <c r="L23" s="136"/>
      <c r="M23" s="136"/>
      <c r="N23" s="136"/>
    </row>
    <row r="24" spans="1:14">
      <c r="A24" s="159">
        <v>12000</v>
      </c>
      <c r="B24" s="89" t="s">
        <v>58</v>
      </c>
      <c r="C24" s="274"/>
      <c r="D24" s="274"/>
      <c r="E24" s="136"/>
      <c r="F24" s="136"/>
      <c r="G24" s="288" t="s">
        <v>1</v>
      </c>
      <c r="H24" s="289"/>
      <c r="I24" s="290"/>
      <c r="J24" s="136"/>
      <c r="K24" s="136"/>
      <c r="L24" s="136"/>
      <c r="M24" s="136"/>
      <c r="N24" s="136"/>
    </row>
    <row r="25" spans="1:14">
      <c r="A25" s="159">
        <v>12100</v>
      </c>
      <c r="B25" s="89" t="s">
        <v>59</v>
      </c>
      <c r="C25" s="274"/>
      <c r="D25" s="274"/>
      <c r="E25" s="136"/>
      <c r="F25" s="136"/>
      <c r="G25" s="291" t="s">
        <v>60</v>
      </c>
      <c r="H25" s="292"/>
      <c r="I25" s="293"/>
      <c r="J25" s="136"/>
      <c r="K25" s="136"/>
      <c r="L25" s="136"/>
      <c r="M25" s="136"/>
      <c r="N25" s="136"/>
    </row>
    <row r="26" spans="1:14">
      <c r="A26" s="159">
        <v>12101</v>
      </c>
      <c r="B26" s="89" t="s">
        <v>61</v>
      </c>
      <c r="C26" s="274">
        <v>25000000</v>
      </c>
      <c r="D26" s="274"/>
      <c r="E26" s="136"/>
      <c r="F26" s="136"/>
      <c r="G26" s="136"/>
      <c r="H26" s="136"/>
      <c r="I26" s="136"/>
      <c r="J26" s="136"/>
      <c r="K26" s="136"/>
      <c r="L26" s="136"/>
      <c r="M26" s="136"/>
      <c r="N26" s="136"/>
    </row>
    <row r="27" spans="1:14">
      <c r="A27" s="159">
        <v>12102</v>
      </c>
      <c r="B27" s="89" t="s">
        <v>62</v>
      </c>
      <c r="C27" s="274"/>
      <c r="D27" s="274">
        <v>7500000</v>
      </c>
      <c r="E27" s="136"/>
      <c r="F27" s="136"/>
      <c r="G27" s="276" t="s">
        <v>63</v>
      </c>
      <c r="H27" s="301" t="s">
        <v>64</v>
      </c>
      <c r="I27" s="305" t="s">
        <v>18</v>
      </c>
      <c r="J27" s="136"/>
      <c r="K27" s="136"/>
      <c r="L27" s="136"/>
      <c r="M27" s="136"/>
      <c r="N27" s="136"/>
    </row>
    <row r="28" spans="1:14">
      <c r="A28" s="159">
        <v>12200</v>
      </c>
      <c r="B28" s="89" t="s">
        <v>65</v>
      </c>
      <c r="C28" s="274"/>
      <c r="D28" s="274"/>
      <c r="E28" s="136"/>
      <c r="F28" s="136"/>
      <c r="G28" s="277" t="s">
        <v>66</v>
      </c>
      <c r="H28" s="302"/>
      <c r="I28" s="306"/>
      <c r="J28" s="136"/>
      <c r="K28" s="136"/>
      <c r="L28" s="136"/>
      <c r="M28" s="136"/>
      <c r="N28" s="136"/>
    </row>
    <row r="29" spans="1:14">
      <c r="A29" s="159">
        <v>12201</v>
      </c>
      <c r="B29" s="89" t="s">
        <v>67</v>
      </c>
      <c r="C29" s="274">
        <v>45000000</v>
      </c>
      <c r="D29" s="274"/>
      <c r="E29" s="136"/>
      <c r="F29" s="136"/>
      <c r="G29" s="158" t="s">
        <v>68</v>
      </c>
      <c r="H29" s="89" t="s">
        <v>69</v>
      </c>
      <c r="I29" s="280">
        <v>10000000</v>
      </c>
      <c r="J29" s="136"/>
      <c r="K29" s="136"/>
      <c r="L29" s="136"/>
      <c r="M29" s="136"/>
      <c r="N29" s="136"/>
    </row>
    <row r="30" spans="1:14">
      <c r="A30" s="159">
        <v>12202</v>
      </c>
      <c r="B30" s="89" t="s">
        <v>70</v>
      </c>
      <c r="C30" s="274"/>
      <c r="D30" s="274">
        <v>25000000</v>
      </c>
      <c r="E30" s="136"/>
      <c r="F30" s="136"/>
      <c r="G30" s="158" t="s">
        <v>71</v>
      </c>
      <c r="H30" s="89" t="s">
        <v>72</v>
      </c>
      <c r="I30" s="280">
        <v>15000000</v>
      </c>
      <c r="J30" s="136"/>
      <c r="K30" s="136"/>
      <c r="L30" s="136"/>
      <c r="M30" s="136"/>
      <c r="N30" s="136"/>
    </row>
    <row r="31" spans="1:14">
      <c r="A31" s="159">
        <v>20000</v>
      </c>
      <c r="B31" s="89" t="s">
        <v>73</v>
      </c>
      <c r="C31" s="274"/>
      <c r="D31" s="274"/>
      <c r="E31" s="136"/>
      <c r="F31" s="136"/>
      <c r="G31" s="158" t="s">
        <v>74</v>
      </c>
      <c r="H31" s="89" t="s">
        <v>75</v>
      </c>
      <c r="I31" s="280">
        <v>7500000</v>
      </c>
      <c r="J31" s="136"/>
      <c r="K31" s="136"/>
      <c r="L31" s="136"/>
      <c r="M31" s="136"/>
      <c r="N31" s="136"/>
    </row>
    <row r="32" spans="1:14">
      <c r="A32" s="159">
        <v>21000</v>
      </c>
      <c r="B32" s="89" t="s">
        <v>76</v>
      </c>
      <c r="C32" s="274"/>
      <c r="D32" s="274"/>
      <c r="E32" s="136"/>
      <c r="F32" s="136"/>
      <c r="G32" s="158" t="s">
        <v>77</v>
      </c>
      <c r="H32" s="89" t="s">
        <v>78</v>
      </c>
      <c r="I32" s="280">
        <v>15000000</v>
      </c>
      <c r="J32" s="136"/>
      <c r="K32" s="136"/>
      <c r="L32" s="136"/>
      <c r="M32" s="136"/>
      <c r="N32" s="136"/>
    </row>
    <row r="33" spans="1:14">
      <c r="A33" s="159">
        <v>21100</v>
      </c>
      <c r="B33" s="89" t="s">
        <v>79</v>
      </c>
      <c r="C33" s="274"/>
      <c r="D33" s="274">
        <v>75000000</v>
      </c>
      <c r="E33" s="136"/>
      <c r="F33" s="136"/>
      <c r="G33" s="158" t="s">
        <v>80</v>
      </c>
      <c r="H33" s="89" t="s">
        <v>81</v>
      </c>
      <c r="I33" s="280"/>
      <c r="J33" s="136"/>
      <c r="K33" s="136"/>
      <c r="L33" s="136"/>
      <c r="M33" s="136"/>
      <c r="N33" s="136"/>
    </row>
    <row r="34" spans="1:14">
      <c r="A34" s="159">
        <v>21200</v>
      </c>
      <c r="B34" s="89" t="s">
        <v>82</v>
      </c>
      <c r="C34" s="274"/>
      <c r="D34" s="274"/>
      <c r="E34" s="136"/>
      <c r="F34" s="136"/>
      <c r="G34" s="102"/>
      <c r="H34" s="98"/>
      <c r="I34" s="283"/>
      <c r="J34" s="136"/>
      <c r="K34" s="136"/>
      <c r="L34" s="136"/>
      <c r="M34" s="136"/>
      <c r="N34" s="136"/>
    </row>
    <row r="35" spans="1:14">
      <c r="A35" s="159">
        <v>21300</v>
      </c>
      <c r="B35" s="89" t="s">
        <v>83</v>
      </c>
      <c r="C35" s="274"/>
      <c r="D35" s="274"/>
      <c r="E35" s="136"/>
      <c r="F35" s="136"/>
      <c r="G35" s="136"/>
      <c r="H35" s="136"/>
      <c r="I35" s="136"/>
      <c r="J35" s="136"/>
      <c r="K35" s="136"/>
      <c r="L35" s="136"/>
      <c r="M35" s="136"/>
      <c r="N35" s="136"/>
    </row>
    <row r="36" spans="1:14">
      <c r="A36" s="159">
        <v>21400</v>
      </c>
      <c r="B36" s="89" t="s">
        <v>84</v>
      </c>
      <c r="C36" s="274"/>
      <c r="D36" s="274"/>
      <c r="E36" s="136"/>
      <c r="F36" s="136"/>
      <c r="G36" s="285" t="s">
        <v>0</v>
      </c>
      <c r="H36" s="286"/>
      <c r="I36" s="287"/>
      <c r="J36" s="136"/>
      <c r="K36" s="136"/>
      <c r="L36" s="136"/>
      <c r="M36" s="136"/>
      <c r="N36" s="136"/>
    </row>
    <row r="37" spans="1:14">
      <c r="A37" s="159">
        <v>21401</v>
      </c>
      <c r="B37" s="89" t="s">
        <v>85</v>
      </c>
      <c r="C37" s="274"/>
      <c r="D37" s="274"/>
      <c r="E37" s="136"/>
      <c r="F37" s="136"/>
      <c r="G37" s="288" t="s">
        <v>1</v>
      </c>
      <c r="H37" s="289"/>
      <c r="I37" s="290"/>
      <c r="J37" s="136"/>
      <c r="K37" s="136"/>
      <c r="L37" s="136"/>
      <c r="M37" s="136"/>
      <c r="N37" s="136"/>
    </row>
    <row r="38" spans="1:14">
      <c r="A38" s="159">
        <v>21402</v>
      </c>
      <c r="B38" s="89" t="s">
        <v>86</v>
      </c>
      <c r="C38" s="274"/>
      <c r="D38" s="274"/>
      <c r="E38" s="136"/>
      <c r="F38" s="136"/>
      <c r="G38" s="291" t="s">
        <v>87</v>
      </c>
      <c r="H38" s="292"/>
      <c r="I38" s="293"/>
      <c r="J38" s="136"/>
      <c r="K38" s="136"/>
      <c r="L38" s="136"/>
      <c r="M38" s="136"/>
      <c r="N38" s="136"/>
    </row>
    <row r="39" spans="1:14">
      <c r="A39" s="159">
        <v>21403</v>
      </c>
      <c r="B39" s="89" t="s">
        <v>88</v>
      </c>
      <c r="C39" s="274"/>
      <c r="D39" s="274"/>
      <c r="E39" s="136"/>
      <c r="F39" s="136"/>
      <c r="G39" s="136"/>
      <c r="H39" s="136"/>
      <c r="I39" s="136"/>
      <c r="J39" s="136"/>
      <c r="K39" s="136"/>
      <c r="L39" s="136"/>
      <c r="M39" s="136"/>
      <c r="N39" s="136"/>
    </row>
    <row r="40" spans="1:14">
      <c r="A40" s="159">
        <v>22000</v>
      </c>
      <c r="B40" s="89" t="s">
        <v>89</v>
      </c>
      <c r="C40" s="274"/>
      <c r="D40" s="274"/>
      <c r="E40" s="136"/>
      <c r="F40" s="136"/>
      <c r="G40" s="276"/>
      <c r="H40" s="303" t="s">
        <v>90</v>
      </c>
      <c r="I40" s="305" t="s">
        <v>91</v>
      </c>
      <c r="J40" s="136"/>
      <c r="K40" s="136"/>
      <c r="L40" s="136"/>
      <c r="M40" s="136"/>
      <c r="N40" s="136"/>
    </row>
    <row r="41" spans="1:14">
      <c r="A41" s="159">
        <v>22001</v>
      </c>
      <c r="B41" s="89" t="s">
        <v>92</v>
      </c>
      <c r="C41" s="274"/>
      <c r="D41" s="274">
        <v>75000000</v>
      </c>
      <c r="E41" s="136"/>
      <c r="F41" s="136"/>
      <c r="G41" s="277" t="s">
        <v>93</v>
      </c>
      <c r="H41" s="304"/>
      <c r="I41" s="306"/>
      <c r="J41" s="136"/>
      <c r="K41" s="136"/>
      <c r="L41" s="136"/>
      <c r="M41" s="136"/>
      <c r="N41" s="136"/>
    </row>
    <row r="42" spans="1:14">
      <c r="A42" s="159">
        <v>30000</v>
      </c>
      <c r="B42" s="89" t="s">
        <v>94</v>
      </c>
      <c r="C42" s="274"/>
      <c r="D42" s="274"/>
      <c r="E42" s="136"/>
      <c r="F42" s="136"/>
      <c r="G42" s="172" t="s">
        <v>95</v>
      </c>
      <c r="H42" s="89" t="s">
        <v>96</v>
      </c>
      <c r="I42" s="280">
        <v>24000000</v>
      </c>
      <c r="J42" s="136"/>
      <c r="K42" s="136"/>
      <c r="L42" s="136"/>
      <c r="M42" s="136"/>
      <c r="N42" s="136"/>
    </row>
    <row r="43" spans="1:14">
      <c r="A43" s="159">
        <v>31000</v>
      </c>
      <c r="B43" s="89" t="s">
        <v>97</v>
      </c>
      <c r="C43" s="274"/>
      <c r="D43" s="274">
        <v>150000000</v>
      </c>
      <c r="E43" s="136"/>
      <c r="F43" s="136"/>
      <c r="G43" s="172" t="s">
        <v>98</v>
      </c>
      <c r="H43" s="89" t="s">
        <v>99</v>
      </c>
      <c r="I43" s="280">
        <v>16000000</v>
      </c>
      <c r="J43" s="136"/>
      <c r="K43" s="136"/>
      <c r="L43" s="136"/>
      <c r="M43" s="136"/>
      <c r="N43" s="136"/>
    </row>
    <row r="44" spans="1:14">
      <c r="A44" s="159">
        <v>32000</v>
      </c>
      <c r="B44" s="89" t="s">
        <v>100</v>
      </c>
      <c r="C44" s="274"/>
      <c r="D44" s="274">
        <v>24630000</v>
      </c>
      <c r="E44" s="136"/>
      <c r="F44" s="136"/>
      <c r="G44" s="172" t="s">
        <v>101</v>
      </c>
      <c r="H44" s="89" t="s">
        <v>102</v>
      </c>
      <c r="I44" s="280">
        <v>35000000</v>
      </c>
      <c r="J44" s="136"/>
      <c r="K44" s="136"/>
      <c r="L44" s="136"/>
      <c r="M44" s="136"/>
      <c r="N44" s="136"/>
    </row>
    <row r="45" spans="1:14">
      <c r="A45" s="159">
        <v>33000</v>
      </c>
      <c r="B45" s="89" t="s">
        <v>103</v>
      </c>
      <c r="C45" s="274"/>
      <c r="D45" s="274"/>
      <c r="E45" s="136"/>
      <c r="F45" s="136"/>
      <c r="G45" s="102"/>
      <c r="H45" s="98"/>
      <c r="I45" s="282">
        <f>SUM(I42:I44)</f>
        <v>75000000</v>
      </c>
      <c r="J45" s="136"/>
      <c r="K45" s="136"/>
      <c r="L45" s="136"/>
      <c r="M45" s="136"/>
      <c r="N45" s="136"/>
    </row>
    <row r="46" spans="1:14">
      <c r="A46" s="159">
        <v>39999</v>
      </c>
      <c r="B46" s="89" t="s">
        <v>104</v>
      </c>
      <c r="C46" s="274"/>
      <c r="D46" s="274"/>
      <c r="E46" s="136"/>
      <c r="F46" s="136"/>
      <c r="G46" s="136"/>
      <c r="H46" s="136"/>
      <c r="I46" s="136"/>
      <c r="J46" s="136"/>
      <c r="K46" s="136"/>
      <c r="L46" s="136"/>
      <c r="M46" s="136"/>
      <c r="N46" s="136"/>
    </row>
    <row r="47" spans="1:14">
      <c r="A47" s="159">
        <v>40000</v>
      </c>
      <c r="B47" s="89" t="s">
        <v>105</v>
      </c>
      <c r="C47" s="274"/>
      <c r="D47" s="274"/>
      <c r="E47" s="136"/>
      <c r="F47" s="136"/>
      <c r="G47" s="136"/>
      <c r="H47" s="136"/>
      <c r="I47" s="136"/>
      <c r="J47" s="136"/>
      <c r="K47" s="136"/>
      <c r="L47" s="136"/>
      <c r="M47" s="136"/>
      <c r="N47" s="136"/>
    </row>
    <row r="48" spans="1:14">
      <c r="A48" s="159">
        <v>41000</v>
      </c>
      <c r="B48" s="89" t="s">
        <v>106</v>
      </c>
      <c r="C48" s="274"/>
      <c r="D48" s="274"/>
      <c r="E48" s="136"/>
      <c r="F48" s="136"/>
      <c r="G48" s="136"/>
      <c r="H48" s="136"/>
      <c r="I48" s="136"/>
      <c r="J48" s="136"/>
      <c r="K48" s="136"/>
      <c r="L48" s="136"/>
      <c r="M48" s="136"/>
      <c r="N48" s="136"/>
    </row>
    <row r="49" spans="1:14">
      <c r="A49" s="159">
        <v>42000</v>
      </c>
      <c r="B49" s="89" t="s">
        <v>107</v>
      </c>
      <c r="C49" s="274"/>
      <c r="D49" s="274"/>
      <c r="E49" s="136"/>
      <c r="F49" s="136"/>
      <c r="G49" s="136"/>
      <c r="H49" s="136"/>
      <c r="I49" s="136"/>
      <c r="J49" s="136"/>
      <c r="K49" s="136"/>
      <c r="L49" s="136"/>
      <c r="M49" s="136"/>
      <c r="N49" s="136"/>
    </row>
    <row r="50" spans="1:14">
      <c r="A50" s="159">
        <v>43000</v>
      </c>
      <c r="B50" s="89" t="s">
        <v>108</v>
      </c>
      <c r="C50" s="274"/>
      <c r="D50" s="274"/>
      <c r="E50" s="136"/>
      <c r="F50" s="136"/>
      <c r="G50" s="136"/>
      <c r="H50" s="136"/>
      <c r="I50" s="136"/>
      <c r="J50" s="136"/>
      <c r="K50" s="136"/>
      <c r="L50" s="136"/>
      <c r="M50" s="136"/>
      <c r="N50" s="136"/>
    </row>
    <row r="51" spans="1:14">
      <c r="A51" s="159">
        <v>50000</v>
      </c>
      <c r="B51" s="89" t="s">
        <v>109</v>
      </c>
      <c r="C51" s="274"/>
      <c r="D51" s="274"/>
      <c r="E51" s="136"/>
      <c r="F51" s="136"/>
      <c r="G51" s="136"/>
      <c r="H51" s="136"/>
      <c r="I51" s="136"/>
      <c r="J51" s="136"/>
      <c r="K51" s="136"/>
      <c r="L51" s="136"/>
      <c r="M51" s="136"/>
      <c r="N51" s="136"/>
    </row>
    <row r="52" spans="1:14">
      <c r="A52" s="159">
        <v>51000</v>
      </c>
      <c r="B52" s="89" t="s">
        <v>110</v>
      </c>
      <c r="C52" s="274"/>
      <c r="D52" s="274"/>
      <c r="E52" s="136"/>
      <c r="F52" s="136"/>
      <c r="G52" s="136"/>
      <c r="H52" s="136"/>
      <c r="I52" s="136"/>
      <c r="J52" s="136"/>
      <c r="K52" s="136"/>
      <c r="L52" s="136"/>
      <c r="M52" s="136"/>
      <c r="N52" s="136"/>
    </row>
    <row r="53" spans="1:14">
      <c r="A53" s="159">
        <v>60000</v>
      </c>
      <c r="B53" s="89" t="s">
        <v>111</v>
      </c>
      <c r="C53" s="274"/>
      <c r="D53" s="274"/>
      <c r="E53" s="136"/>
      <c r="F53" s="136"/>
      <c r="G53" s="136"/>
      <c r="H53" s="136"/>
      <c r="I53" s="136"/>
      <c r="J53" s="136"/>
      <c r="K53" s="136"/>
      <c r="L53" s="136"/>
      <c r="M53" s="136"/>
      <c r="N53" s="136"/>
    </row>
    <row r="54" spans="1:14">
      <c r="A54" s="159">
        <v>61001</v>
      </c>
      <c r="B54" s="89" t="s">
        <v>112</v>
      </c>
      <c r="C54" s="274"/>
      <c r="D54" s="274"/>
      <c r="E54" s="136"/>
      <c r="F54" s="136"/>
      <c r="G54" s="136"/>
      <c r="H54" s="136"/>
      <c r="I54" s="136"/>
      <c r="J54" s="136"/>
      <c r="K54" s="136"/>
      <c r="L54" s="136"/>
      <c r="M54" s="136"/>
      <c r="N54" s="136"/>
    </row>
    <row r="55" spans="1:14">
      <c r="A55" s="159">
        <v>61002</v>
      </c>
      <c r="B55" s="89" t="s">
        <v>113</v>
      </c>
      <c r="C55" s="274"/>
      <c r="D55" s="274"/>
      <c r="E55" s="136"/>
      <c r="F55" s="136"/>
      <c r="G55" s="136"/>
      <c r="H55" s="136"/>
      <c r="I55" s="136"/>
      <c r="J55" s="136"/>
      <c r="K55" s="136"/>
      <c r="L55" s="136"/>
      <c r="M55" s="136"/>
      <c r="N55" s="136"/>
    </row>
    <row r="56" spans="1:14">
      <c r="A56" s="159">
        <v>61003</v>
      </c>
      <c r="B56" s="89" t="s">
        <v>114</v>
      </c>
      <c r="C56" s="274"/>
      <c r="D56" s="274"/>
      <c r="E56" s="136"/>
      <c r="F56" s="136"/>
      <c r="G56" s="136"/>
      <c r="H56" s="136"/>
      <c r="I56" s="136"/>
      <c r="J56" s="136"/>
      <c r="K56" s="136"/>
      <c r="L56" s="136"/>
      <c r="M56" s="136"/>
      <c r="N56" s="136"/>
    </row>
    <row r="57" spans="1:14">
      <c r="A57" s="159">
        <v>61004</v>
      </c>
      <c r="B57" s="89" t="s">
        <v>115</v>
      </c>
      <c r="C57" s="274"/>
      <c r="D57" s="274"/>
      <c r="E57" s="136"/>
      <c r="F57" s="136"/>
      <c r="G57" s="136"/>
      <c r="H57" s="136"/>
      <c r="I57" s="136"/>
      <c r="J57" s="136"/>
      <c r="K57" s="136"/>
      <c r="L57" s="136"/>
      <c r="M57" s="136"/>
      <c r="N57" s="136"/>
    </row>
    <row r="58" spans="1:14">
      <c r="A58" s="159">
        <v>61005</v>
      </c>
      <c r="B58" s="89" t="s">
        <v>116</v>
      </c>
      <c r="C58" s="274"/>
      <c r="D58" s="274"/>
      <c r="E58" s="136"/>
      <c r="F58" s="136"/>
      <c r="G58" s="136"/>
      <c r="H58" s="136"/>
      <c r="I58" s="136"/>
      <c r="J58" s="136"/>
      <c r="K58" s="136"/>
      <c r="L58" s="136"/>
      <c r="M58" s="136"/>
      <c r="N58" s="136"/>
    </row>
    <row r="59" spans="1:14">
      <c r="A59" s="159">
        <v>61006</v>
      </c>
      <c r="B59" s="89" t="s">
        <v>117</v>
      </c>
      <c r="C59" s="274"/>
      <c r="D59" s="274"/>
      <c r="E59" s="136"/>
      <c r="F59" s="136"/>
      <c r="G59" s="136"/>
      <c r="H59" s="136"/>
      <c r="I59" s="136"/>
      <c r="J59" s="136"/>
      <c r="K59" s="136"/>
      <c r="L59" s="136"/>
      <c r="M59" s="136"/>
      <c r="N59" s="136"/>
    </row>
    <row r="60" spans="1:14">
      <c r="A60" s="159">
        <v>61007</v>
      </c>
      <c r="B60" s="89" t="s">
        <v>118</v>
      </c>
      <c r="C60" s="274"/>
      <c r="D60" s="274"/>
      <c r="E60" s="136"/>
      <c r="F60" s="136"/>
      <c r="G60" s="136"/>
      <c r="H60" s="136"/>
      <c r="I60" s="136"/>
      <c r="J60" s="136"/>
      <c r="K60" s="136"/>
      <c r="L60" s="136"/>
      <c r="M60" s="136"/>
      <c r="N60" s="136"/>
    </row>
    <row r="61" spans="1:14">
      <c r="A61" s="159">
        <v>61008</v>
      </c>
      <c r="B61" s="89" t="s">
        <v>119</v>
      </c>
      <c r="C61" s="274"/>
      <c r="D61" s="274"/>
      <c r="E61" s="136"/>
      <c r="F61" s="136"/>
      <c r="G61" s="136"/>
      <c r="H61" s="136"/>
      <c r="I61" s="136"/>
      <c r="J61" s="136"/>
      <c r="K61" s="136"/>
      <c r="L61" s="136"/>
      <c r="M61" s="136"/>
      <c r="N61" s="136"/>
    </row>
    <row r="62" spans="1:14">
      <c r="A62" s="159">
        <v>61009</v>
      </c>
      <c r="B62" s="89" t="s">
        <v>120</v>
      </c>
      <c r="C62" s="89"/>
      <c r="D62" s="89"/>
      <c r="E62" s="136"/>
      <c r="F62" s="136"/>
      <c r="G62" s="136"/>
      <c r="H62" s="136"/>
      <c r="I62" s="136"/>
      <c r="J62" s="136"/>
      <c r="K62" s="136"/>
      <c r="L62" s="136"/>
      <c r="M62" s="136"/>
      <c r="N62" s="136"/>
    </row>
    <row r="63" spans="1:14">
      <c r="A63" s="159">
        <v>61010</v>
      </c>
      <c r="B63" s="89" t="s">
        <v>121</v>
      </c>
      <c r="C63" s="89"/>
      <c r="D63" s="89"/>
      <c r="E63" s="136"/>
      <c r="F63" s="136"/>
      <c r="G63" s="136"/>
      <c r="H63" s="136"/>
      <c r="I63" s="136"/>
      <c r="J63" s="136"/>
      <c r="K63" s="136"/>
      <c r="L63" s="136"/>
      <c r="M63" s="136"/>
      <c r="N63" s="136"/>
    </row>
    <row r="64" spans="1:14">
      <c r="A64" s="159">
        <v>61011</v>
      </c>
      <c r="B64" s="89" t="s">
        <v>122</v>
      </c>
      <c r="C64" s="89"/>
      <c r="D64" s="89"/>
      <c r="E64" s="136"/>
      <c r="F64" s="136"/>
      <c r="G64" s="136"/>
      <c r="H64" s="136"/>
      <c r="I64" s="136"/>
      <c r="J64" s="136"/>
      <c r="K64" s="136"/>
      <c r="L64" s="136"/>
      <c r="M64" s="136"/>
      <c r="N64" s="136"/>
    </row>
    <row r="65" spans="1:14">
      <c r="A65" s="159">
        <v>61099</v>
      </c>
      <c r="B65" s="89" t="s">
        <v>123</v>
      </c>
      <c r="C65" s="89"/>
      <c r="D65" s="89"/>
      <c r="E65" s="136"/>
      <c r="F65" s="136"/>
      <c r="G65" s="136"/>
      <c r="H65" s="136"/>
      <c r="I65" s="136"/>
      <c r="J65" s="136"/>
      <c r="K65" s="136"/>
      <c r="L65" s="136"/>
      <c r="M65" s="136"/>
      <c r="N65" s="136"/>
    </row>
    <row r="66" spans="1:14">
      <c r="A66" s="159">
        <v>80000</v>
      </c>
      <c r="B66" s="89" t="s">
        <v>124</v>
      </c>
      <c r="C66" s="89"/>
      <c r="D66" s="89"/>
      <c r="E66" s="136"/>
      <c r="F66" s="136"/>
      <c r="G66" s="136"/>
      <c r="H66" s="136"/>
      <c r="I66" s="136"/>
      <c r="J66" s="136"/>
      <c r="K66" s="136"/>
      <c r="L66" s="136"/>
      <c r="M66" s="136"/>
      <c r="N66" s="136"/>
    </row>
    <row r="67" spans="1:14">
      <c r="A67" s="159">
        <v>81001</v>
      </c>
      <c r="B67" s="89" t="s">
        <v>125</v>
      </c>
      <c r="C67" s="89"/>
      <c r="D67" s="89"/>
      <c r="E67" s="136"/>
      <c r="F67" s="136"/>
      <c r="G67" s="136"/>
      <c r="H67" s="136"/>
      <c r="I67" s="136"/>
      <c r="J67" s="136"/>
      <c r="K67" s="136"/>
      <c r="L67" s="136"/>
      <c r="M67" s="136"/>
      <c r="N67" s="136"/>
    </row>
    <row r="68" spans="1:14">
      <c r="A68" s="159">
        <v>81002</v>
      </c>
      <c r="B68" s="89" t="s">
        <v>126</v>
      </c>
      <c r="C68" s="89"/>
      <c r="D68" s="89"/>
      <c r="E68" s="136"/>
      <c r="F68" s="136"/>
      <c r="G68" s="136"/>
      <c r="H68" s="136"/>
      <c r="I68" s="136"/>
      <c r="J68" s="136"/>
      <c r="K68" s="136"/>
      <c r="L68" s="136"/>
      <c r="M68" s="136"/>
      <c r="N68" s="136"/>
    </row>
    <row r="69" spans="1:14">
      <c r="A69" s="159">
        <v>90000</v>
      </c>
      <c r="B69" s="89" t="s">
        <v>127</v>
      </c>
      <c r="C69" s="89"/>
      <c r="D69" s="89"/>
      <c r="E69" s="136"/>
      <c r="F69" s="136"/>
      <c r="G69" s="136"/>
      <c r="H69" s="136"/>
      <c r="I69" s="136"/>
      <c r="J69" s="136"/>
      <c r="K69" s="136"/>
      <c r="L69" s="136"/>
      <c r="M69" s="136"/>
      <c r="N69" s="136"/>
    </row>
    <row r="70" spans="1:14">
      <c r="A70" s="159">
        <v>91001</v>
      </c>
      <c r="B70" s="89" t="s">
        <v>128</v>
      </c>
      <c r="C70" s="89"/>
      <c r="D70" s="89"/>
      <c r="E70" s="136"/>
      <c r="F70" s="136"/>
      <c r="G70" s="136"/>
      <c r="H70" s="136"/>
      <c r="I70" s="136"/>
      <c r="J70" s="136"/>
      <c r="K70" s="136"/>
      <c r="L70" s="136"/>
      <c r="M70" s="136"/>
      <c r="N70" s="136"/>
    </row>
    <row r="71" spans="1:14">
      <c r="A71" s="159">
        <v>91002</v>
      </c>
      <c r="B71" s="89" t="s">
        <v>129</v>
      </c>
      <c r="C71" s="89"/>
      <c r="D71" s="89"/>
      <c r="E71" s="136"/>
      <c r="F71" s="136"/>
      <c r="G71" s="136"/>
      <c r="H71" s="136"/>
      <c r="I71" s="136"/>
      <c r="J71" s="136"/>
      <c r="K71" s="136"/>
      <c r="L71" s="136"/>
      <c r="M71" s="136"/>
      <c r="N71" s="136"/>
    </row>
    <row r="72" spans="1:14">
      <c r="A72" s="297" t="s">
        <v>130</v>
      </c>
      <c r="B72" s="298"/>
      <c r="C72" s="284">
        <f>SUM(C7:C71)</f>
        <v>357130000</v>
      </c>
      <c r="D72" s="284">
        <f>SUM(D7:D71)</f>
        <v>357130000</v>
      </c>
      <c r="E72" s="136"/>
      <c r="F72" s="136"/>
      <c r="G72" s="136"/>
      <c r="H72" s="136"/>
      <c r="I72" s="136"/>
      <c r="J72" s="136"/>
      <c r="K72" s="136"/>
      <c r="L72" s="136"/>
      <c r="M72" s="136"/>
      <c r="N72" s="136"/>
    </row>
  </sheetData>
  <mergeCells count="22">
    <mergeCell ref="G36:I36"/>
    <mergeCell ref="G37:I37"/>
    <mergeCell ref="G38:I38"/>
    <mergeCell ref="A72:B72"/>
    <mergeCell ref="G6:G7"/>
    <mergeCell ref="H6:H7"/>
    <mergeCell ref="H27:H28"/>
    <mergeCell ref="H40:H41"/>
    <mergeCell ref="I6:I7"/>
    <mergeCell ref="I27:I28"/>
    <mergeCell ref="I40:I41"/>
    <mergeCell ref="L6:N6"/>
    <mergeCell ref="L21:M21"/>
    <mergeCell ref="G23:I23"/>
    <mergeCell ref="G24:I24"/>
    <mergeCell ref="G25:I25"/>
    <mergeCell ref="A1:D1"/>
    <mergeCell ref="G1:N1"/>
    <mergeCell ref="A2:D2"/>
    <mergeCell ref="G2:N2"/>
    <mergeCell ref="A3:D3"/>
    <mergeCell ref="G3:N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7"/>
  <sheetViews>
    <sheetView topLeftCell="A25" workbookViewId="0">
      <selection activeCell="J45" sqref="J45"/>
    </sheetView>
  </sheetViews>
  <sheetFormatPr defaultColWidth="9" defaultRowHeight="15"/>
  <cols>
    <col min="1" max="1" width="4" style="26" customWidth="1"/>
    <col min="2" max="2" width="9" style="26"/>
    <col min="3" max="3" width="5.85546875" style="26" customWidth="1"/>
    <col min="4" max="4" width="9" style="26"/>
    <col min="5" max="5" width="4.7109375" style="26" customWidth="1"/>
    <col min="6" max="9" width="9" style="26"/>
    <col min="10" max="10" width="16.140625" style="26" customWidth="1"/>
    <col min="11" max="11" width="17.42578125" style="26" customWidth="1"/>
    <col min="12" max="12" width="20.7109375" style="26" customWidth="1"/>
    <col min="13" max="13" width="17.5703125" style="26" customWidth="1"/>
    <col min="14" max="15" width="9" style="26"/>
    <col min="16" max="16" width="9.5703125" style="26" customWidth="1"/>
    <col min="17" max="16384" width="9" style="26"/>
  </cols>
  <sheetData>
    <row r="1" spans="2:14" ht="11.25" customHeight="1"/>
    <row r="2" spans="2:14">
      <c r="B2" s="371" t="s">
        <v>215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3"/>
    </row>
    <row r="3" spans="2:14">
      <c r="B3" s="374" t="s">
        <v>241</v>
      </c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6"/>
    </row>
    <row r="4" spans="2:14">
      <c r="B4" s="377" t="s">
        <v>234</v>
      </c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9"/>
    </row>
    <row r="5" spans="2:14">
      <c r="B5" s="2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7"/>
    </row>
    <row r="6" spans="2:14">
      <c r="B6" s="27"/>
      <c r="C6" s="380" t="s">
        <v>13</v>
      </c>
      <c r="D6" s="380"/>
      <c r="E6" s="1"/>
      <c r="F6" s="1"/>
      <c r="G6" s="1"/>
      <c r="H6" s="1"/>
      <c r="I6" s="1"/>
      <c r="J6" s="1"/>
      <c r="K6" s="1"/>
      <c r="L6" s="1"/>
      <c r="M6" s="1"/>
      <c r="N6" s="37"/>
    </row>
    <row r="7" spans="2:14">
      <c r="B7" s="27"/>
      <c r="C7" s="1"/>
      <c r="D7" s="381" t="s">
        <v>19</v>
      </c>
      <c r="E7" s="381"/>
      <c r="F7" s="381"/>
      <c r="G7" s="28"/>
      <c r="H7" s="28"/>
      <c r="I7" s="28"/>
      <c r="J7" s="28"/>
      <c r="K7" s="1"/>
      <c r="L7" s="1"/>
      <c r="M7" s="1"/>
      <c r="N7" s="37"/>
    </row>
    <row r="8" spans="2:14">
      <c r="B8" s="27"/>
      <c r="C8" s="1"/>
      <c r="D8" s="29">
        <v>11101</v>
      </c>
      <c r="E8" s="382" t="str">
        <f>VLOOKUP(D8,'NERACA SALDO'!$A$10:$I$56,2,FALSE)</f>
        <v>Kas di tangan</v>
      </c>
      <c r="F8" s="382"/>
      <c r="G8" s="382"/>
      <c r="H8" s="382"/>
      <c r="I8" s="382"/>
      <c r="J8" s="38">
        <f ca="1">VLOOKUP(D8,'NERACA SALDO'!$A$10:$I$56,8,FALSE)</f>
        <v>63973250</v>
      </c>
      <c r="K8" s="39"/>
      <c r="L8" s="39"/>
      <c r="M8" s="39"/>
      <c r="N8" s="40"/>
    </row>
    <row r="9" spans="2:14">
      <c r="B9" s="27"/>
      <c r="C9" s="1"/>
      <c r="D9" s="29">
        <v>11102</v>
      </c>
      <c r="E9" s="382" t="str">
        <f>VLOOKUP(D9,'NERACA SALDO'!$A$10:$I$56,2,FALSE)</f>
        <v>Kas Kecil</v>
      </c>
      <c r="F9" s="382"/>
      <c r="G9" s="382"/>
      <c r="H9" s="382"/>
      <c r="I9" s="382"/>
      <c r="J9" s="38">
        <f ca="1">VLOOKUP(D9,'NERACA SALDO'!$A$10:$I$56,8,FALSE)</f>
        <v>750000</v>
      </c>
      <c r="K9" s="39"/>
      <c r="L9" s="39"/>
      <c r="M9" s="39"/>
      <c r="N9" s="40"/>
    </row>
    <row r="10" spans="2:14">
      <c r="B10" s="27"/>
      <c r="C10" s="1"/>
      <c r="D10" s="29">
        <v>11201</v>
      </c>
      <c r="E10" s="382" t="str">
        <f>VLOOKUP(D10,'NERACA SALDO'!$A$10:$I$56,2,FALSE)</f>
        <v>Bank BCA</v>
      </c>
      <c r="F10" s="382"/>
      <c r="G10" s="382"/>
      <c r="H10" s="382"/>
      <c r="I10" s="382"/>
      <c r="J10" s="38">
        <f ca="1">VLOOKUP(D10,'NERACA SALDO'!$A$10:$I$56,8,FALSE)</f>
        <v>14675000</v>
      </c>
      <c r="K10" s="39"/>
      <c r="L10" s="39"/>
      <c r="M10" s="39"/>
      <c r="N10" s="40"/>
    </row>
    <row r="11" spans="2:14">
      <c r="B11" s="27"/>
      <c r="C11" s="1"/>
      <c r="D11" s="29">
        <v>11202</v>
      </c>
      <c r="E11" s="382" t="str">
        <f>VLOOKUP(D11,'NERACA SALDO'!$A$10:$I$56,2,FALSE)</f>
        <v>Bank Mandiri</v>
      </c>
      <c r="F11" s="382"/>
      <c r="G11" s="382"/>
      <c r="H11" s="382"/>
      <c r="I11" s="382"/>
      <c r="J11" s="38">
        <f ca="1">VLOOKUP(D11,'NERACA SALDO'!$A$10:$I$56,8,FALSE)</f>
        <v>52011500</v>
      </c>
      <c r="K11" s="39"/>
      <c r="L11" s="39"/>
      <c r="M11" s="39"/>
      <c r="N11" s="40"/>
    </row>
    <row r="12" spans="2:14">
      <c r="B12" s="27"/>
      <c r="C12" s="1"/>
      <c r="D12" s="29">
        <v>11301</v>
      </c>
      <c r="E12" s="382" t="str">
        <f>VLOOKUP(D12,'NERACA SALDO'!$A$10:$I$56,2,FALSE)</f>
        <v>Piutang Usaha</v>
      </c>
      <c r="F12" s="382"/>
      <c r="G12" s="382"/>
      <c r="H12" s="382"/>
      <c r="I12" s="382"/>
      <c r="J12" s="38">
        <f ca="1">VLOOKUP(D12,'NERACA SALDO'!$A$10:$I$56,8,FALSE)</f>
        <v>58035000</v>
      </c>
      <c r="K12" s="39"/>
      <c r="L12" s="39"/>
      <c r="M12" s="39"/>
      <c r="N12" s="40"/>
    </row>
    <row r="13" spans="2:14">
      <c r="B13" s="27"/>
      <c r="C13" s="1"/>
      <c r="D13" s="29">
        <v>11302</v>
      </c>
      <c r="E13" s="382" t="str">
        <f>VLOOKUP(D13,'NERACA SALDO'!$A$10:$I$56,2,FALSE)</f>
        <v>Cadangan Piutang Tak tertagih</v>
      </c>
      <c r="F13" s="382"/>
      <c r="G13" s="382"/>
      <c r="H13" s="382"/>
      <c r="I13" s="382"/>
      <c r="J13" s="38">
        <f ca="1">-VLOOKUP(D13,'NERACA SALDO'!$A$10:$I$56,9,FALSE)</f>
        <v>-2901750</v>
      </c>
      <c r="K13" s="39"/>
      <c r="L13" s="39"/>
      <c r="M13" s="39"/>
      <c r="N13" s="40"/>
    </row>
    <row r="14" spans="2:14">
      <c r="B14" s="27"/>
      <c r="C14" s="1"/>
      <c r="D14" s="29">
        <v>11401</v>
      </c>
      <c r="E14" s="382" t="str">
        <f>VLOOKUP(D14,'NERACA SALDO'!$A$10:$I$56,2,FALSE)</f>
        <v>Piutang Karyawan</v>
      </c>
      <c r="F14" s="382"/>
      <c r="G14" s="382"/>
      <c r="H14" s="382"/>
      <c r="I14" s="382"/>
      <c r="J14" s="38">
        <f ca="1">VLOOKUP(D14,'NERACA SALDO'!$A$10:$I$56,8,FALSE)</f>
        <v>2000000</v>
      </c>
      <c r="K14" s="39"/>
      <c r="L14" s="39"/>
      <c r="M14" s="39"/>
      <c r="N14" s="40"/>
    </row>
    <row r="15" spans="2:14">
      <c r="B15" s="27"/>
      <c r="C15" s="1"/>
      <c r="D15" s="29">
        <v>11500</v>
      </c>
      <c r="E15" s="382" t="str">
        <f>VLOOKUP(D15,'NERACA SALDO'!$A$10:$I$56,2,FALSE)</f>
        <v>Persediaan Barang Dagangan</v>
      </c>
      <c r="F15" s="382"/>
      <c r="G15" s="382"/>
      <c r="H15" s="382"/>
      <c r="I15" s="382"/>
      <c r="J15" s="38">
        <f ca="1">VLOOKUP(D15,'NERACA SALDO'!$A$10:$I$56,8,FALSE)</f>
        <v>71465000</v>
      </c>
      <c r="K15" s="39"/>
      <c r="L15" s="39"/>
      <c r="M15" s="39"/>
      <c r="N15" s="40"/>
    </row>
    <row r="16" spans="2:14">
      <c r="B16" s="27"/>
      <c r="C16" s="1"/>
      <c r="D16" s="29">
        <v>11601</v>
      </c>
      <c r="E16" s="382" t="str">
        <f>VLOOKUP(D16,'NERACA SALDO'!$A$10:$I$56,2,FALSE)</f>
        <v>PPN Masukan</v>
      </c>
      <c r="F16" s="382"/>
      <c r="G16" s="382"/>
      <c r="H16" s="382"/>
      <c r="I16" s="382"/>
      <c r="J16" s="38">
        <f ca="1">VLOOKUP(D16,'NERACA SALDO'!$A$10:$I$56,8,FALSE)</f>
        <v>2392500</v>
      </c>
      <c r="K16" s="39"/>
      <c r="L16" s="39"/>
      <c r="M16" s="39"/>
      <c r="N16" s="40"/>
    </row>
    <row r="17" spans="2:16">
      <c r="B17" s="27"/>
      <c r="C17" s="1"/>
      <c r="D17" s="29">
        <v>11602</v>
      </c>
      <c r="E17" s="382" t="str">
        <f>VLOOKUP(D17,'NERACA SALDO'!$A$10:$I$56,2,FALSE)</f>
        <v>Uang Muka Pembelian</v>
      </c>
      <c r="F17" s="382"/>
      <c r="G17" s="382"/>
      <c r="H17" s="382"/>
      <c r="I17" s="382"/>
      <c r="J17" s="38">
        <f ca="1">VLOOKUP(D17,'NERACA SALDO'!$A$10:$I$56,8,FALSE)</f>
        <v>6000000</v>
      </c>
      <c r="K17" s="39"/>
      <c r="L17" s="39"/>
      <c r="M17" s="39"/>
      <c r="N17" s="40"/>
    </row>
    <row r="18" spans="2:16">
      <c r="B18" s="27"/>
      <c r="C18" s="1"/>
      <c r="D18" s="1"/>
      <c r="E18" s="339" t="s">
        <v>242</v>
      </c>
      <c r="F18" s="339"/>
      <c r="G18" s="339"/>
      <c r="H18" s="339"/>
      <c r="I18" s="339"/>
      <c r="J18" s="339"/>
      <c r="K18" s="41">
        <f ca="1">SUM(J8:J17)</f>
        <v>268400500</v>
      </c>
      <c r="L18" s="41"/>
      <c r="M18" s="41"/>
      <c r="N18" s="40"/>
    </row>
    <row r="19" spans="2:16">
      <c r="B19" s="27"/>
      <c r="C19" s="29"/>
      <c r="D19" s="1"/>
      <c r="E19" s="1"/>
      <c r="F19" s="1"/>
      <c r="G19" s="1"/>
      <c r="H19" s="1"/>
      <c r="I19" s="1"/>
      <c r="J19" s="38"/>
      <c r="K19" s="41"/>
      <c r="L19" s="41"/>
      <c r="M19" s="41"/>
      <c r="N19" s="40"/>
    </row>
    <row r="20" spans="2:16">
      <c r="B20" s="27"/>
      <c r="C20" s="1"/>
      <c r="D20" s="31" t="s">
        <v>243</v>
      </c>
      <c r="E20" s="32"/>
      <c r="F20" s="1"/>
      <c r="G20" s="1"/>
      <c r="H20" s="1"/>
      <c r="I20" s="1"/>
      <c r="J20" s="38"/>
      <c r="K20" s="41"/>
      <c r="L20" s="41"/>
      <c r="M20" s="41"/>
      <c r="N20" s="40"/>
    </row>
    <row r="21" spans="2:16">
      <c r="B21" s="27"/>
      <c r="C21" s="1"/>
      <c r="D21" s="29">
        <v>12101</v>
      </c>
      <c r="E21" s="382" t="str">
        <f>VLOOKUP(D21,'NERACA SALDO'!$A$10:$I$56,2,FALSE)</f>
        <v>Peralatan Kantor</v>
      </c>
      <c r="F21" s="382"/>
      <c r="G21" s="382"/>
      <c r="H21" s="382"/>
      <c r="I21" s="382"/>
      <c r="J21" s="38">
        <f ca="1">VLOOKUP(D21,'NERACA SALDO'!$A$10:$I$57,8,FALSE)</f>
        <v>25000000</v>
      </c>
      <c r="K21" s="41"/>
      <c r="L21" s="41"/>
      <c r="M21" s="41"/>
      <c r="N21" s="40"/>
    </row>
    <row r="22" spans="2:16">
      <c r="B22" s="27"/>
      <c r="C22" s="1"/>
      <c r="D22" s="29">
        <v>12102</v>
      </c>
      <c r="E22" s="382" t="str">
        <f>VLOOKUP(D22,'NERACA SALDO'!$A$10:$I$56,2,FALSE)</f>
        <v>Akumulasi penyusutan peralatan kantor</v>
      </c>
      <c r="F22" s="382"/>
      <c r="G22" s="382"/>
      <c r="H22" s="382"/>
      <c r="I22" s="382"/>
      <c r="J22" s="38">
        <f ca="1">-VLOOKUP(D22,'NERACA SALDO'!$A$10:$I$57,9,FALSE)</f>
        <v>-7900000</v>
      </c>
      <c r="K22" s="41"/>
      <c r="L22" s="41"/>
      <c r="M22" s="41"/>
      <c r="N22" s="40"/>
    </row>
    <row r="23" spans="2:16">
      <c r="B23" s="27"/>
      <c r="C23" s="1"/>
      <c r="D23" s="29">
        <v>12201</v>
      </c>
      <c r="E23" s="382" t="str">
        <f>VLOOKUP(D23,'NERACA SALDO'!$A$10:$I$56,2,FALSE)</f>
        <v>Kendaraan</v>
      </c>
      <c r="F23" s="382"/>
      <c r="G23" s="382"/>
      <c r="H23" s="382"/>
      <c r="I23" s="382"/>
      <c r="J23" s="38">
        <f ca="1">VLOOKUP(D23,'NERACA SALDO'!$A$10:$I$57,8,0)</f>
        <v>50500000</v>
      </c>
      <c r="K23" s="41"/>
      <c r="L23" s="41"/>
      <c r="M23" s="41"/>
      <c r="N23" s="40"/>
    </row>
    <row r="24" spans="2:16">
      <c r="B24" s="27"/>
      <c r="C24" s="1"/>
      <c r="D24" s="29">
        <v>12202</v>
      </c>
      <c r="E24" s="382" t="str">
        <f>VLOOKUP(D24,'NERACA SALDO'!$A$10:$I$56,2,FALSE)</f>
        <v>Akumulasi penyusutan Kendaraan</v>
      </c>
      <c r="F24" s="382"/>
      <c r="G24" s="382"/>
      <c r="H24" s="382"/>
      <c r="I24" s="382"/>
      <c r="J24" s="38">
        <f ca="1">-VLOOKUP(D24,'NERACA SALDO'!$A$10:$I$56,9,0)</f>
        <v>-24000000</v>
      </c>
      <c r="K24" s="41"/>
      <c r="L24" s="41"/>
      <c r="M24" s="41"/>
      <c r="N24" s="40"/>
    </row>
    <row r="25" spans="2:16">
      <c r="B25" s="27"/>
      <c r="C25" s="33"/>
      <c r="D25" s="34"/>
      <c r="E25" s="339" t="s">
        <v>244</v>
      </c>
      <c r="F25" s="339"/>
      <c r="G25" s="339"/>
      <c r="H25" s="339"/>
      <c r="I25" s="339"/>
      <c r="J25" s="339"/>
      <c r="K25" s="42">
        <f ca="1">SUM(J21:J24)</f>
        <v>43600000</v>
      </c>
      <c r="L25" s="41"/>
      <c r="M25" s="41"/>
      <c r="N25" s="40"/>
    </row>
    <row r="26" spans="2:16" ht="15.75">
      <c r="B26" s="27"/>
      <c r="C26" s="383" t="s">
        <v>245</v>
      </c>
      <c r="D26" s="383"/>
      <c r="E26" s="383"/>
      <c r="F26" s="383"/>
      <c r="G26" s="383"/>
      <c r="H26" s="383"/>
      <c r="I26" s="1"/>
      <c r="J26" s="39"/>
      <c r="K26" s="41"/>
      <c r="L26" s="41"/>
      <c r="M26" s="43">
        <f ca="1">K18+K25</f>
        <v>312000500</v>
      </c>
      <c r="N26" s="40"/>
    </row>
    <row r="27" spans="2:16">
      <c r="B27" s="27"/>
      <c r="C27" s="29"/>
      <c r="D27" s="1"/>
      <c r="E27" s="1"/>
      <c r="F27" s="1"/>
      <c r="G27" s="1"/>
      <c r="H27" s="1"/>
      <c r="I27" s="1"/>
      <c r="J27" s="39"/>
      <c r="K27" s="39"/>
      <c r="L27" s="39"/>
      <c r="M27" s="39"/>
      <c r="N27" s="40"/>
    </row>
    <row r="28" spans="2:16">
      <c r="B28" s="27"/>
      <c r="C28" s="380" t="s">
        <v>246</v>
      </c>
      <c r="D28" s="380"/>
      <c r="E28" s="1"/>
      <c r="F28" s="1"/>
      <c r="G28" s="1"/>
      <c r="H28" s="1"/>
      <c r="I28" s="1"/>
      <c r="J28" s="39"/>
      <c r="K28" s="39"/>
      <c r="L28" s="39"/>
      <c r="M28" s="39"/>
      <c r="N28" s="40"/>
    </row>
    <row r="29" spans="2:16">
      <c r="B29" s="27"/>
      <c r="C29" s="1"/>
      <c r="D29" s="384" t="s">
        <v>247</v>
      </c>
      <c r="E29" s="384"/>
      <c r="F29" s="384"/>
      <c r="G29" s="384"/>
      <c r="H29" s="28"/>
      <c r="I29" s="28"/>
      <c r="J29" s="28"/>
      <c r="K29" s="28"/>
      <c r="L29" s="28"/>
      <c r="M29" s="39"/>
      <c r="N29" s="40"/>
    </row>
    <row r="30" spans="2:16">
      <c r="B30" s="27"/>
      <c r="C30" s="1"/>
      <c r="D30" s="29">
        <v>21100</v>
      </c>
      <c r="E30" s="382" t="str">
        <f>VLOOKUP(D30,'NERACA SALDO'!$A$10:$I$56,2,FALSE)</f>
        <v>Hutang Usaha</v>
      </c>
      <c r="F30" s="382"/>
      <c r="G30" s="382"/>
      <c r="H30" s="382"/>
      <c r="I30" s="382"/>
      <c r="J30" s="38">
        <f ca="1">VLOOKUP(D30,'NERACA SALDO'!$A$10:$I$57,9,0)</f>
        <v>46567500</v>
      </c>
      <c r="K30" s="39"/>
      <c r="L30" s="39"/>
      <c r="M30" s="39"/>
      <c r="N30" s="40"/>
      <c r="P30" s="44"/>
    </row>
    <row r="31" spans="2:16">
      <c r="B31" s="27"/>
      <c r="C31" s="1"/>
      <c r="D31" s="29">
        <v>21200</v>
      </c>
      <c r="E31" s="382" t="str">
        <f>VLOOKUP(D31,'NERACA SALDO'!$A$10:$I$56,2,FALSE)</f>
        <v>Pendapatan diterima dimuka-Jasa Kirim</v>
      </c>
      <c r="F31" s="382"/>
      <c r="G31" s="382"/>
      <c r="H31" s="382"/>
      <c r="I31" s="382"/>
      <c r="J31" s="38">
        <f ca="1">VLOOKUP(D31,'NERACA SALDO'!$A$10:$I$57,9,0)</f>
        <v>200000</v>
      </c>
      <c r="K31" s="39"/>
      <c r="L31" s="39"/>
      <c r="M31" s="39"/>
      <c r="N31" s="40"/>
      <c r="P31" s="44"/>
    </row>
    <row r="32" spans="2:16">
      <c r="B32" s="27"/>
      <c r="C32" s="1"/>
      <c r="D32" s="29">
        <v>21300</v>
      </c>
      <c r="E32" s="382" t="str">
        <f>VLOOKUP(D32,'NERACA SALDO'!$A$10:$I$56,2,FALSE)</f>
        <v>Hutang Bunga</v>
      </c>
      <c r="F32" s="382"/>
      <c r="G32" s="382"/>
      <c r="H32" s="382"/>
      <c r="I32" s="382"/>
      <c r="J32" s="38">
        <f ca="1">VLOOKUP(D32,'NERACA SALDO'!$A$10:$I$57,9,0)</f>
        <v>1500000</v>
      </c>
      <c r="K32" s="39"/>
      <c r="L32" s="39"/>
      <c r="M32" s="39"/>
      <c r="N32" s="40"/>
      <c r="P32" s="44"/>
    </row>
    <row r="33" spans="2:16">
      <c r="B33" s="27"/>
      <c r="C33" s="1"/>
      <c r="D33" s="29">
        <v>21401</v>
      </c>
      <c r="E33" s="382" t="str">
        <f>VLOOKUP(D33,'NERACA SALDO'!$A$10:$I$56,2,FALSE)</f>
        <v>Utang PPh pasal 21</v>
      </c>
      <c r="F33" s="382"/>
      <c r="G33" s="382"/>
      <c r="H33" s="382"/>
      <c r="I33" s="382"/>
      <c r="J33" s="38">
        <f ca="1">VLOOKUP(D33,'NERACA SALDO'!$A$10:$I$57,9,0)</f>
        <v>725000</v>
      </c>
      <c r="K33" s="39"/>
      <c r="L33" s="39"/>
      <c r="M33" s="39"/>
      <c r="N33" s="40"/>
      <c r="P33" s="44"/>
    </row>
    <row r="34" spans="2:16">
      <c r="B34" s="27"/>
      <c r="C34" s="1"/>
      <c r="D34" s="29">
        <v>21402</v>
      </c>
      <c r="E34" s="382" t="str">
        <f>VLOOKUP(D34,'NERACA SALDO'!$A$10:$I$56,2,FALSE)</f>
        <v>Utang PPh pasal 4</v>
      </c>
      <c r="F34" s="382"/>
      <c r="G34" s="382"/>
      <c r="H34" s="382"/>
      <c r="I34" s="382"/>
      <c r="J34" s="38">
        <f ca="1">VLOOKUP(D34,'NERACA SALDO'!$A$10:$I$57,9,0)</f>
        <v>250000</v>
      </c>
      <c r="K34" s="39"/>
      <c r="L34" s="39"/>
      <c r="M34" s="39"/>
      <c r="N34" s="40"/>
    </row>
    <row r="35" spans="2:16">
      <c r="B35" s="27"/>
      <c r="C35" s="1"/>
      <c r="D35" s="29">
        <v>21403</v>
      </c>
      <c r="E35" s="382" t="str">
        <f>VLOOKUP(D35,'NERACA SALDO'!$A$10:$I$56,2,FALSE)</f>
        <v>PPN Keluaran</v>
      </c>
      <c r="F35" s="382"/>
      <c r="G35" s="382"/>
      <c r="H35" s="382"/>
      <c r="I35" s="382"/>
      <c r="J35" s="38">
        <f ca="1">VLOOKUP(D35,'NERACA SALDO'!$A$10:$I$57,9,0)</f>
        <v>13969750</v>
      </c>
      <c r="K35" s="39"/>
      <c r="L35" s="39"/>
      <c r="M35" s="39"/>
      <c r="N35" s="40"/>
    </row>
    <row r="36" spans="2:16">
      <c r="B36" s="27"/>
      <c r="C36" s="1"/>
      <c r="D36" s="29"/>
      <c r="E36" s="385" t="s">
        <v>248</v>
      </c>
      <c r="F36" s="385"/>
      <c r="G36" s="385"/>
      <c r="H36" s="385"/>
      <c r="I36" s="385"/>
      <c r="J36" s="385"/>
      <c r="K36" s="41">
        <f ca="1">SUM(J30:J35)</f>
        <v>63212250</v>
      </c>
      <c r="L36" s="41"/>
      <c r="M36" s="41"/>
      <c r="N36" s="40"/>
    </row>
    <row r="37" spans="2:16">
      <c r="B37" s="27"/>
      <c r="C37" s="1"/>
      <c r="D37" s="29"/>
      <c r="E37" s="1"/>
      <c r="F37" s="1"/>
      <c r="G37" s="1"/>
      <c r="H37" s="1"/>
      <c r="I37" s="1"/>
      <c r="J37" s="39"/>
      <c r="K37" s="41"/>
      <c r="L37" s="41"/>
      <c r="M37" s="41"/>
      <c r="N37" s="40"/>
    </row>
    <row r="38" spans="2:16">
      <c r="B38" s="27"/>
      <c r="C38" s="1"/>
      <c r="D38" s="381" t="s">
        <v>89</v>
      </c>
      <c r="E38" s="381"/>
      <c r="F38" s="381"/>
      <c r="G38" s="381"/>
      <c r="H38" s="28"/>
      <c r="I38" s="28"/>
      <c r="J38" s="28"/>
      <c r="K38" s="28"/>
      <c r="L38" s="41"/>
      <c r="M38" s="41"/>
      <c r="N38" s="40"/>
    </row>
    <row r="39" spans="2:16">
      <c r="B39" s="27"/>
      <c r="C39" s="1"/>
      <c r="D39" s="29">
        <v>22001</v>
      </c>
      <c r="E39" s="382" t="str">
        <f>VLOOKUP(D39,'NERACA SALDO'!$A$10:$I$56,2,FALSE)</f>
        <v>Hutang Bank Mandiri</v>
      </c>
      <c r="F39" s="382"/>
      <c r="G39" s="382"/>
      <c r="H39" s="382"/>
      <c r="I39" s="382"/>
      <c r="J39" s="38">
        <f ca="1">VLOOKUP(D39,'NERACA SALDO'!$A$10:$I$57,9,0)</f>
        <v>75000000</v>
      </c>
      <c r="K39" s="41"/>
      <c r="L39" s="41"/>
      <c r="M39" s="41"/>
      <c r="N39" s="40"/>
    </row>
    <row r="40" spans="2:16">
      <c r="B40" s="27"/>
      <c r="C40" s="1"/>
      <c r="D40" s="29"/>
      <c r="E40" s="385" t="s">
        <v>249</v>
      </c>
      <c r="F40" s="385"/>
      <c r="G40" s="385"/>
      <c r="H40" s="385"/>
      <c r="I40" s="385"/>
      <c r="J40" s="385"/>
      <c r="K40" s="42">
        <f ca="1">J39</f>
        <v>75000000</v>
      </c>
      <c r="L40" s="41"/>
      <c r="M40" s="41"/>
      <c r="N40" s="40"/>
    </row>
    <row r="41" spans="2:16">
      <c r="B41" s="27"/>
      <c r="C41" s="1"/>
      <c r="D41" s="29"/>
      <c r="E41" s="385" t="s">
        <v>250</v>
      </c>
      <c r="F41" s="385"/>
      <c r="G41" s="385"/>
      <c r="H41" s="385"/>
      <c r="I41" s="385"/>
      <c r="J41" s="385"/>
      <c r="K41" s="41"/>
      <c r="L41" s="41">
        <f ca="1">K36+K40</f>
        <v>138212250</v>
      </c>
      <c r="M41" s="41"/>
      <c r="N41" s="40"/>
    </row>
    <row r="42" spans="2:16">
      <c r="B42" s="27"/>
      <c r="C42" s="1"/>
      <c r="D42" s="29"/>
      <c r="E42" s="1"/>
      <c r="F42" s="1"/>
      <c r="G42" s="1"/>
      <c r="H42" s="1"/>
      <c r="I42" s="1"/>
      <c r="J42" s="39"/>
      <c r="K42" s="41"/>
      <c r="L42" s="41"/>
      <c r="M42" s="41"/>
      <c r="N42" s="40"/>
    </row>
    <row r="43" spans="2:16">
      <c r="B43" s="27"/>
      <c r="C43" s="1"/>
      <c r="D43" s="381" t="s">
        <v>94</v>
      </c>
      <c r="E43" s="381"/>
      <c r="F43" s="28"/>
      <c r="G43" s="28"/>
      <c r="H43" s="28"/>
      <c r="I43" s="28"/>
      <c r="J43" s="28"/>
      <c r="K43" s="28"/>
      <c r="L43" s="28"/>
      <c r="M43" s="41"/>
      <c r="N43" s="40"/>
    </row>
    <row r="44" spans="2:16">
      <c r="B44" s="27"/>
      <c r="C44" s="1"/>
      <c r="D44" s="29">
        <v>31000</v>
      </c>
      <c r="E44" s="382" t="str">
        <f>VLOOKUP(D44,'NERACA SALDO'!$A$10:$I$56,2,FALSE)</f>
        <v>Modal Saham</v>
      </c>
      <c r="F44" s="382"/>
      <c r="G44" s="382"/>
      <c r="H44" s="382"/>
      <c r="I44" s="382"/>
      <c r="J44" s="38">
        <f ca="1">VLOOKUP(D44,'NERACA SALDO'!$A$10:$I$57,9,0)</f>
        <v>150000000</v>
      </c>
      <c r="K44" s="41"/>
      <c r="L44" s="41"/>
      <c r="M44" s="41"/>
      <c r="N44" s="40"/>
    </row>
    <row r="45" spans="2:16">
      <c r="B45" s="27"/>
      <c r="C45" s="1"/>
      <c r="D45" s="29">
        <v>32000</v>
      </c>
      <c r="E45" s="382" t="str">
        <f>VLOOKUP(D45,'NERACA SALDO'!$A$10:$I$56,2,FALSE)</f>
        <v>Laba Ditahan Periode Lalu</v>
      </c>
      <c r="F45" s="382"/>
      <c r="G45" s="382"/>
      <c r="H45" s="382"/>
      <c r="I45" s="382"/>
      <c r="J45" s="38">
        <f ca="1">'LAP. PERUBAHAN LABA'!J14</f>
        <v>23788250</v>
      </c>
      <c r="K45" s="41"/>
      <c r="L45" s="41"/>
      <c r="M45" s="41"/>
      <c r="N45" s="40"/>
    </row>
    <row r="46" spans="2:16">
      <c r="B46" s="27"/>
      <c r="C46" s="1"/>
      <c r="D46" s="1"/>
      <c r="E46" s="1"/>
      <c r="F46" s="368" t="s">
        <v>251</v>
      </c>
      <c r="G46" s="368"/>
      <c r="H46" s="368"/>
      <c r="I46" s="368"/>
      <c r="J46" s="368"/>
      <c r="K46" s="368"/>
      <c r="L46" s="42">
        <f ca="1">SUM(J44:J45)</f>
        <v>173788250</v>
      </c>
      <c r="M46" s="41"/>
      <c r="N46" s="40"/>
    </row>
    <row r="47" spans="2:16" ht="15.75">
      <c r="B47" s="36"/>
      <c r="C47" s="360" t="s">
        <v>252</v>
      </c>
      <c r="D47" s="360"/>
      <c r="E47" s="360"/>
      <c r="F47" s="360"/>
      <c r="G47" s="360"/>
      <c r="H47" s="360"/>
      <c r="I47" s="32"/>
      <c r="J47" s="45"/>
      <c r="K47" s="46"/>
      <c r="L47" s="46"/>
      <c r="M47" s="47">
        <f ca="1">L41+L46</f>
        <v>312000500</v>
      </c>
      <c r="N47" s="48"/>
    </row>
  </sheetData>
  <mergeCells count="40">
    <mergeCell ref="D43:E43"/>
    <mergeCell ref="E44:I44"/>
    <mergeCell ref="E45:I45"/>
    <mergeCell ref="F46:K46"/>
    <mergeCell ref="C47:H47"/>
    <mergeCell ref="E36:J36"/>
    <mergeCell ref="D38:G38"/>
    <mergeCell ref="E39:I39"/>
    <mergeCell ref="E40:J40"/>
    <mergeCell ref="E41:J41"/>
    <mergeCell ref="E31:I31"/>
    <mergeCell ref="E32:I32"/>
    <mergeCell ref="E33:I33"/>
    <mergeCell ref="E34:I34"/>
    <mergeCell ref="E35:I35"/>
    <mergeCell ref="E25:J25"/>
    <mergeCell ref="C26:H26"/>
    <mergeCell ref="C28:D28"/>
    <mergeCell ref="D29:G29"/>
    <mergeCell ref="E30:I30"/>
    <mergeCell ref="E18:J18"/>
    <mergeCell ref="E21:I21"/>
    <mergeCell ref="E22:I22"/>
    <mergeCell ref="E23:I23"/>
    <mergeCell ref="E24:I24"/>
    <mergeCell ref="E13:I13"/>
    <mergeCell ref="E14:I14"/>
    <mergeCell ref="E15:I15"/>
    <mergeCell ref="E16:I16"/>
    <mergeCell ref="E17:I17"/>
    <mergeCell ref="E8:I8"/>
    <mergeCell ref="E9:I9"/>
    <mergeCell ref="E10:I10"/>
    <mergeCell ref="E11:I11"/>
    <mergeCell ref="E12:I12"/>
    <mergeCell ref="B2:N2"/>
    <mergeCell ref="B3:N3"/>
    <mergeCell ref="B4:N4"/>
    <mergeCell ref="C6:D6"/>
    <mergeCell ref="D7:F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4"/>
  <sheetViews>
    <sheetView tabSelected="1" topLeftCell="A12" workbookViewId="0">
      <selection activeCell="F33" sqref="F33"/>
    </sheetView>
  </sheetViews>
  <sheetFormatPr defaultColWidth="9.140625" defaultRowHeight="15"/>
  <cols>
    <col min="1" max="1" width="10.5703125" customWidth="1"/>
    <col min="2" max="2" width="11.5703125" customWidth="1"/>
    <col min="3" max="3" width="43.5703125" customWidth="1"/>
    <col min="4" max="4" width="6.140625" customWidth="1"/>
    <col min="5" max="5" width="26.42578125" customWidth="1"/>
    <col min="6" max="6" width="29.7109375" customWidth="1"/>
  </cols>
  <sheetData>
    <row r="2" spans="1:22" ht="15.75">
      <c r="A2" s="362" t="s">
        <v>215</v>
      </c>
      <c r="B2" s="363"/>
      <c r="C2" s="363"/>
      <c r="D2" s="363"/>
      <c r="E2" s="363"/>
      <c r="F2" s="364"/>
      <c r="G2" s="1"/>
      <c r="H2" s="1"/>
      <c r="I2" s="1"/>
      <c r="J2" s="1"/>
    </row>
    <row r="3" spans="1:22" ht="15.75">
      <c r="A3" s="330" t="s">
        <v>253</v>
      </c>
      <c r="B3" s="366"/>
      <c r="C3" s="366"/>
      <c r="D3" s="366"/>
      <c r="E3" s="366"/>
      <c r="F3" s="367"/>
      <c r="G3" s="1"/>
      <c r="H3" s="1"/>
      <c r="I3" s="1"/>
      <c r="J3" s="1"/>
    </row>
    <row r="4" spans="1:22" ht="15.75">
      <c r="A4" s="359" t="s">
        <v>234</v>
      </c>
      <c r="B4" s="360"/>
      <c r="C4" s="360"/>
      <c r="D4" s="360"/>
      <c r="E4" s="360"/>
      <c r="F4" s="361"/>
      <c r="G4" s="1"/>
      <c r="H4" s="1"/>
      <c r="I4" s="1"/>
      <c r="J4" s="1"/>
    </row>
    <row r="5" spans="1:22">
      <c r="A5" s="2"/>
      <c r="B5" s="3"/>
      <c r="C5" s="3"/>
      <c r="D5" s="3"/>
      <c r="E5" s="3"/>
      <c r="F5" s="4"/>
      <c r="G5" s="5"/>
      <c r="H5" s="5"/>
      <c r="I5" s="5"/>
      <c r="J5" s="5"/>
    </row>
    <row r="6" spans="1:22">
      <c r="A6" s="6" t="s">
        <v>4</v>
      </c>
      <c r="B6" s="386" t="s">
        <v>199</v>
      </c>
      <c r="C6" s="386"/>
      <c r="D6" s="7" t="s">
        <v>137</v>
      </c>
      <c r="E6" s="7" t="s">
        <v>201</v>
      </c>
      <c r="F6" s="8" t="s">
        <v>7</v>
      </c>
      <c r="G6" s="5"/>
      <c r="H6" s="5"/>
      <c r="I6" s="5"/>
      <c r="J6" s="5"/>
    </row>
    <row r="7" spans="1:22">
      <c r="A7" s="9">
        <v>41000</v>
      </c>
      <c r="B7" s="10" t="str">
        <f>VLOOKUP(A7,'MATER AKUN'!$A$7:$B$71,2,FALSE)</f>
        <v xml:space="preserve">Penjualan </v>
      </c>
      <c r="C7" s="11"/>
      <c r="D7" s="12"/>
      <c r="E7" s="13">
        <f ca="1">VLOOKUP(A7,'NERACA SALDO'!$A$10:$I$56,9,FALSE)</f>
        <v>142385000</v>
      </c>
      <c r="F7" s="14"/>
      <c r="J7" s="22"/>
      <c r="K7" s="23"/>
      <c r="L7" s="22"/>
      <c r="M7" s="22"/>
      <c r="N7" s="22"/>
      <c r="O7" s="22"/>
      <c r="P7" s="22"/>
      <c r="Q7" s="22"/>
      <c r="R7" s="24"/>
      <c r="S7" s="25"/>
      <c r="T7" s="22"/>
      <c r="U7" s="22"/>
      <c r="V7" s="22"/>
    </row>
    <row r="8" spans="1:22">
      <c r="A8" s="9">
        <v>81001</v>
      </c>
      <c r="B8" s="10" t="str">
        <f>VLOOKUP(A8,'MATER AKUN'!$A$7:$B$71,2,FALSE)</f>
        <v>Laba penjualan aktiva tetap</v>
      </c>
      <c r="C8" s="11"/>
      <c r="D8" s="12"/>
      <c r="E8" s="13">
        <f ca="1">VLOOKUP(A8,'NERACA SALDO'!$A$10:$I$56,9,FALSE)</f>
        <v>1000000</v>
      </c>
      <c r="F8" s="14"/>
      <c r="J8" s="22"/>
      <c r="K8" s="23"/>
      <c r="L8" s="22"/>
      <c r="M8" s="22"/>
      <c r="N8" s="22"/>
      <c r="O8" s="22"/>
      <c r="P8" s="22"/>
      <c r="Q8" s="22"/>
      <c r="R8" s="24"/>
      <c r="S8" s="25"/>
      <c r="T8" s="22"/>
      <c r="U8" s="22"/>
      <c r="V8" s="22"/>
    </row>
    <row r="9" spans="1:22">
      <c r="A9" s="9">
        <v>81002</v>
      </c>
      <c r="B9" s="10" t="str">
        <f>VLOOKUP(A9,'MATER AKUN'!$A$7:$B$71,2,FALSE)</f>
        <v>Pendapatan jasa giro</v>
      </c>
      <c r="C9" s="11"/>
      <c r="D9" s="12"/>
      <c r="E9" s="13">
        <f ca="1">VLOOKUP(A9,'NERACA SALDO'!$A$10:$I$56,9,FALSE)</f>
        <v>1350000</v>
      </c>
      <c r="F9" s="14"/>
      <c r="J9" s="22"/>
      <c r="K9" s="23"/>
      <c r="L9" s="22"/>
      <c r="M9" s="22"/>
      <c r="N9" s="22"/>
      <c r="O9" s="22"/>
      <c r="P9" s="22"/>
      <c r="Q9" s="22"/>
      <c r="R9" s="24"/>
      <c r="S9" s="25"/>
      <c r="T9" s="22"/>
      <c r="U9" s="22"/>
      <c r="V9" s="22"/>
    </row>
    <row r="10" spans="1:22">
      <c r="A10" s="9"/>
      <c r="B10" s="11"/>
      <c r="C10" s="11" t="s">
        <v>254</v>
      </c>
      <c r="D10" s="12"/>
      <c r="E10" s="13"/>
      <c r="F10" s="14">
        <f ca="1">SUM(E7:E9)</f>
        <v>144735000</v>
      </c>
      <c r="J10" s="22"/>
      <c r="K10" s="22"/>
      <c r="L10" s="22"/>
      <c r="M10" s="22"/>
      <c r="N10" s="22"/>
      <c r="O10" s="22"/>
      <c r="P10" s="22"/>
      <c r="Q10" s="22"/>
      <c r="R10" s="24"/>
      <c r="S10" s="25"/>
      <c r="T10" s="22"/>
      <c r="U10" s="22"/>
      <c r="V10" s="22"/>
    </row>
    <row r="11" spans="1:22">
      <c r="A11" s="9"/>
      <c r="B11" s="11"/>
      <c r="C11" s="11"/>
      <c r="D11" s="12"/>
      <c r="E11" s="13"/>
      <c r="F11" s="14"/>
      <c r="J11" s="22"/>
      <c r="K11" s="22"/>
      <c r="L11" s="22"/>
      <c r="M11" s="22"/>
      <c r="N11" s="22"/>
      <c r="O11" s="22"/>
      <c r="P11" s="22"/>
      <c r="Q11" s="22"/>
      <c r="R11" s="24"/>
      <c r="S11" s="25"/>
      <c r="T11" s="22"/>
      <c r="U11" s="22"/>
      <c r="V11" s="22"/>
    </row>
    <row r="12" spans="1:22">
      <c r="A12" s="9"/>
      <c r="B12" s="11" t="s">
        <v>254</v>
      </c>
      <c r="C12" s="11"/>
      <c r="D12" s="12"/>
      <c r="E12" s="13">
        <f ca="1">SUM(F13:F29)</f>
        <v>145576750</v>
      </c>
      <c r="F12" s="14"/>
      <c r="J12" s="22"/>
      <c r="K12" s="22"/>
      <c r="L12" s="22"/>
      <c r="M12" s="22"/>
      <c r="N12" s="22"/>
      <c r="O12" s="22"/>
      <c r="P12" s="22"/>
      <c r="Q12" s="22"/>
      <c r="R12" s="24"/>
      <c r="S12" s="25"/>
      <c r="T12" s="22"/>
      <c r="U12" s="22"/>
      <c r="V12" s="22"/>
    </row>
    <row r="13" spans="1:22">
      <c r="A13" s="9">
        <v>42000</v>
      </c>
      <c r="B13" s="11"/>
      <c r="C13" s="10" t="str">
        <f>VLOOKUP(A13,'MATER AKUN'!$A$7:$B$71,2,FALSE)</f>
        <v>Retur penjualan</v>
      </c>
      <c r="D13" s="12"/>
      <c r="E13" s="13"/>
      <c r="F13" s="14">
        <f ca="1">VLOOKUP(A13,'NERACA SALDO'!$A$10:$I$56,8,FALSE)</f>
        <v>2125000</v>
      </c>
      <c r="J13" s="22"/>
      <c r="K13" s="22"/>
      <c r="L13" s="23"/>
      <c r="M13" s="22"/>
      <c r="N13" s="22"/>
      <c r="O13" s="22"/>
      <c r="P13" s="22"/>
      <c r="Q13" s="22"/>
      <c r="R13" s="24"/>
      <c r="S13" s="25"/>
      <c r="T13" s="22"/>
      <c r="U13" s="22"/>
      <c r="V13" s="22"/>
    </row>
    <row r="14" spans="1:22">
      <c r="A14" s="9">
        <v>43000</v>
      </c>
      <c r="B14" s="11"/>
      <c r="C14" s="10" t="str">
        <f>VLOOKUP(A14,'MATER AKUN'!$A$7:$B$71,2,FALSE)</f>
        <v>Potongan penjualan</v>
      </c>
      <c r="D14" s="12"/>
      <c r="E14" s="13"/>
      <c r="F14" s="14">
        <f ca="1">VLOOKUP(A14,'NERACA SALDO'!$A$10:$I$56,8,FALSE)</f>
        <v>3022500</v>
      </c>
      <c r="J14" s="22"/>
      <c r="K14" s="22"/>
      <c r="L14" s="23"/>
      <c r="M14" s="22"/>
      <c r="N14" s="22"/>
      <c r="O14" s="22"/>
      <c r="P14" s="22"/>
      <c r="Q14" s="22"/>
      <c r="R14" s="24"/>
      <c r="S14" s="25"/>
      <c r="T14" s="22"/>
      <c r="U14" s="22"/>
      <c r="V14" s="22"/>
    </row>
    <row r="15" spans="1:22">
      <c r="A15" s="9">
        <v>51000</v>
      </c>
      <c r="B15" s="11"/>
      <c r="C15" s="10" t="str">
        <f>VLOOKUP(A15,'MATER AKUN'!$A$7:$B$71,2,FALSE)</f>
        <v>Harga pokok penjualan</v>
      </c>
      <c r="D15" s="12"/>
      <c r="E15" s="13"/>
      <c r="F15" s="14">
        <f ca="1">VLOOKUP(A15,'NERACA SALDO'!$A$10:$I$56,8,FALSE)</f>
        <v>116340000</v>
      </c>
      <c r="J15" s="22"/>
      <c r="K15" s="22"/>
      <c r="L15" s="23"/>
      <c r="M15" s="22"/>
      <c r="N15" s="22"/>
      <c r="O15" s="22"/>
      <c r="P15" s="22"/>
      <c r="Q15" s="22"/>
      <c r="R15" s="24"/>
      <c r="S15" s="25"/>
      <c r="T15" s="22"/>
      <c r="U15" s="22"/>
      <c r="V15" s="22"/>
    </row>
    <row r="16" spans="1:22">
      <c r="A16" s="9">
        <v>61001</v>
      </c>
      <c r="B16" s="11"/>
      <c r="C16" s="10" t="str">
        <f>VLOOKUP(A16,'MATER AKUN'!$A$7:$B$71,2,FALSE)</f>
        <v>Beban gaji karyawan</v>
      </c>
      <c r="D16" s="12"/>
      <c r="E16" s="13"/>
      <c r="F16" s="14">
        <f ca="1">VLOOKUP(A16,'NERACA SALDO'!$A$10:$I$56,8,FALSE)</f>
        <v>14500000</v>
      </c>
      <c r="J16" s="22"/>
      <c r="K16" s="22"/>
      <c r="L16" s="23"/>
      <c r="M16" s="22"/>
      <c r="N16" s="22"/>
      <c r="O16" s="22"/>
      <c r="P16" s="22"/>
      <c r="Q16" s="22"/>
      <c r="R16" s="24"/>
      <c r="S16" s="25"/>
      <c r="T16" s="22"/>
      <c r="U16" s="22"/>
      <c r="V16" s="22"/>
    </row>
    <row r="17" spans="1:22">
      <c r="A17" s="9">
        <v>61002</v>
      </c>
      <c r="B17" s="11"/>
      <c r="C17" s="10" t="str">
        <f>VLOOKUP(A17,'MATER AKUN'!$A$7:$B$71,2,FALSE)</f>
        <v>Beban sewa</v>
      </c>
      <c r="D17" s="12"/>
      <c r="E17" s="13"/>
      <c r="F17" s="14">
        <f ca="1">VLOOKUP(A17,'NERACA SALDO'!$A$10:$I$56,8,FALSE)</f>
        <v>2500000</v>
      </c>
      <c r="J17" s="22"/>
      <c r="K17" s="22"/>
      <c r="L17" s="23"/>
      <c r="M17" s="22"/>
      <c r="N17" s="22"/>
      <c r="O17" s="22"/>
      <c r="P17" s="22"/>
      <c r="Q17" s="22"/>
      <c r="R17" s="24"/>
      <c r="S17" s="25"/>
      <c r="T17" s="22"/>
      <c r="U17" s="22"/>
      <c r="V17" s="22"/>
    </row>
    <row r="18" spans="1:22">
      <c r="A18" s="9">
        <v>61003</v>
      </c>
      <c r="B18" s="11"/>
      <c r="C18" s="10" t="str">
        <f>VLOOKUP(A18,'MATER AKUN'!$A$7:$B$71,2,FALSE)</f>
        <v>Beban piutang tak tertagih</v>
      </c>
      <c r="D18" s="12"/>
      <c r="E18" s="13"/>
      <c r="F18" s="14">
        <f ca="1">VLOOKUP(A18,'NERACA SALDO'!$A$10:$I$56,8,FALSE)</f>
        <v>2901750</v>
      </c>
      <c r="J18" s="22"/>
      <c r="K18" s="22"/>
      <c r="L18" s="23"/>
      <c r="M18" s="22"/>
      <c r="N18" s="22"/>
      <c r="O18" s="22"/>
      <c r="P18" s="22"/>
      <c r="Q18" s="22"/>
      <c r="R18" s="24"/>
      <c r="S18" s="25"/>
      <c r="T18" s="22"/>
      <c r="U18" s="22"/>
      <c r="V18" s="22"/>
    </row>
    <row r="19" spans="1:22">
      <c r="A19" s="9">
        <v>61004</v>
      </c>
      <c r="B19" s="11"/>
      <c r="C19" s="10" t="str">
        <f>VLOOKUP(A19,'MATER AKUN'!$A$7:$B$71,2,FALSE)</f>
        <v>Beban Listrik</v>
      </c>
      <c r="D19" s="12"/>
      <c r="E19" s="13"/>
      <c r="F19" s="14">
        <f ca="1">VLOOKUP(A19,'NERACA SALDO'!$A$10:$I$56,8,FALSE)</f>
        <v>175000</v>
      </c>
      <c r="J19" s="22"/>
      <c r="K19" s="22"/>
      <c r="L19" s="23"/>
      <c r="M19" s="22"/>
      <c r="N19" s="22"/>
      <c r="O19" s="22"/>
      <c r="P19" s="22"/>
      <c r="Q19" s="22"/>
      <c r="R19" s="24"/>
      <c r="S19" s="25"/>
      <c r="T19" s="22"/>
      <c r="U19" s="22"/>
      <c r="V19" s="22"/>
    </row>
    <row r="20" spans="1:22">
      <c r="A20" s="9">
        <v>61005</v>
      </c>
      <c r="B20" s="11"/>
      <c r="C20" s="10" t="str">
        <f>VLOOKUP(A20,'MATER AKUN'!$A$7:$B$71,2,FALSE)</f>
        <v>Beban telepon</v>
      </c>
      <c r="D20" s="12"/>
      <c r="E20" s="13"/>
      <c r="F20" s="14">
        <f ca="1">VLOOKUP(A20,'NERACA SALDO'!$A$10:$I$56,8,FALSE)</f>
        <v>212500</v>
      </c>
      <c r="J20" s="22"/>
      <c r="K20" s="22"/>
      <c r="L20" s="23"/>
      <c r="M20" s="22"/>
      <c r="N20" s="22"/>
      <c r="O20" s="22"/>
      <c r="P20" s="22"/>
      <c r="Q20" s="22"/>
      <c r="R20" s="24"/>
      <c r="S20" s="25"/>
      <c r="T20" s="22"/>
      <c r="U20" s="22"/>
      <c r="V20" s="22"/>
    </row>
    <row r="21" spans="1:22">
      <c r="A21" s="9">
        <v>61006</v>
      </c>
      <c r="B21" s="11"/>
      <c r="C21" s="10" t="str">
        <f>VLOOKUP(A21,'MATER AKUN'!$A$7:$B$71,2,FALSE)</f>
        <v>Beban penyusutan peralatan kantor</v>
      </c>
      <c r="D21" s="12"/>
      <c r="E21" s="13"/>
      <c r="F21" s="14">
        <f ca="1">VLOOKUP(A21,'NERACA SALDO'!$A$10:$I$56,8,FALSE)</f>
        <v>400000</v>
      </c>
      <c r="J21" s="22"/>
      <c r="K21" s="22"/>
      <c r="L21" s="23"/>
      <c r="M21" s="22"/>
      <c r="N21" s="22"/>
      <c r="O21" s="22"/>
      <c r="P21" s="22"/>
      <c r="Q21" s="22"/>
      <c r="R21" s="24"/>
      <c r="S21" s="25"/>
      <c r="T21" s="22"/>
      <c r="U21" s="22"/>
      <c r="V21" s="22"/>
    </row>
    <row r="22" spans="1:22">
      <c r="A22" s="9">
        <v>61007</v>
      </c>
      <c r="B22" s="11"/>
      <c r="C22" s="10" t="str">
        <f>VLOOKUP(A22,'MATER AKUN'!$A$7:$B$71,2,FALSE)</f>
        <v>Beban penyusutan kendaraan</v>
      </c>
      <c r="D22" s="12"/>
      <c r="E22" s="13"/>
      <c r="F22" s="14">
        <f ca="1">VLOOKUP(A22,'NERACA SALDO'!$A$10:$I$56,8,FALSE)</f>
        <v>500000</v>
      </c>
      <c r="J22" s="22"/>
      <c r="K22" s="22"/>
      <c r="L22" s="23"/>
      <c r="M22" s="22"/>
      <c r="N22" s="22"/>
      <c r="O22" s="22"/>
      <c r="P22" s="22"/>
      <c r="Q22" s="22"/>
      <c r="R22" s="24"/>
      <c r="S22" s="25"/>
      <c r="T22" s="22"/>
      <c r="U22" s="22"/>
      <c r="V22" s="22"/>
    </row>
    <row r="23" spans="1:22">
      <c r="A23" s="9">
        <v>61008</v>
      </c>
      <c r="B23" s="11"/>
      <c r="C23" s="10" t="str">
        <f>VLOOKUP(A23,'MATER AKUN'!$A$7:$B$71,2,FALSE)</f>
        <v>Beban Pemasaran</v>
      </c>
      <c r="D23" s="12"/>
      <c r="E23" s="13"/>
      <c r="F23" s="14">
        <f ca="1">VLOOKUP(A23,'NERACA SALDO'!$A$10:$I$56,8,FALSE)</f>
        <v>750000</v>
      </c>
      <c r="J23" s="22"/>
      <c r="K23" s="22"/>
      <c r="L23" s="23"/>
      <c r="M23" s="22"/>
      <c r="N23" s="22"/>
      <c r="O23" s="22"/>
      <c r="P23" s="22"/>
      <c r="Q23" s="22"/>
      <c r="R23" s="24"/>
      <c r="S23" s="25"/>
      <c r="T23" s="22"/>
      <c r="U23" s="22"/>
      <c r="V23" s="22"/>
    </row>
    <row r="24" spans="1:22">
      <c r="A24" s="9">
        <v>61009</v>
      </c>
      <c r="B24" s="11"/>
      <c r="C24" s="10" t="str">
        <f>VLOOKUP(A24,'MATER AKUN'!$A$7:$B$71,2,FALSE)</f>
        <v>Beban transportasi</v>
      </c>
      <c r="D24" s="12"/>
      <c r="E24" s="13"/>
      <c r="F24" s="14">
        <f ca="1">VLOOKUP(A24,'NERACA SALDO'!$A$10:$I$56,8,FALSE)</f>
        <v>250000</v>
      </c>
      <c r="J24" s="22"/>
      <c r="K24" s="22"/>
      <c r="L24" s="23"/>
      <c r="M24" s="22"/>
      <c r="N24" s="22"/>
      <c r="O24" s="22"/>
      <c r="P24" s="22"/>
      <c r="Q24" s="22"/>
      <c r="R24" s="24"/>
      <c r="S24" s="25"/>
      <c r="T24" s="22"/>
      <c r="U24" s="22"/>
      <c r="V24" s="22"/>
    </row>
    <row r="25" spans="1:22">
      <c r="A25" s="9">
        <v>61010</v>
      </c>
      <c r="B25" s="11"/>
      <c r="C25" s="10" t="str">
        <f>VLOOKUP(A25,'MATER AKUN'!$A$7:$B$71,2,FALSE)</f>
        <v>Beban perawatan ac</v>
      </c>
      <c r="D25" s="12"/>
      <c r="E25" s="13"/>
      <c r="F25" s="14">
        <f ca="1">VLOOKUP(A25,'NERACA SALDO'!$A$10:$I$56,8,FALSE)</f>
        <v>200000</v>
      </c>
      <c r="J25" s="22"/>
      <c r="K25" s="22"/>
      <c r="L25" s="23"/>
      <c r="M25" s="22"/>
      <c r="N25" s="22"/>
      <c r="O25" s="22"/>
      <c r="P25" s="22"/>
      <c r="Q25" s="22"/>
      <c r="R25" s="24"/>
      <c r="S25" s="25"/>
      <c r="T25" s="22"/>
      <c r="U25" s="22"/>
      <c r="V25" s="22"/>
    </row>
    <row r="26" spans="1:22">
      <c r="A26" s="9">
        <v>61011</v>
      </c>
      <c r="B26" s="11"/>
      <c r="C26" s="10" t="str">
        <f>VLOOKUP(A26,'MATER AKUN'!$A$7:$B$71,2,FALSE)</f>
        <v>Beban perlengkapan kantor</v>
      </c>
      <c r="D26" s="12"/>
      <c r="E26" s="13"/>
      <c r="F26" s="14">
        <f ca="1">VLOOKUP(A26,'NERACA SALDO'!$A$10:$I$56,8,FALSE)</f>
        <v>50000</v>
      </c>
      <c r="J26" s="22"/>
      <c r="K26" s="22"/>
      <c r="L26" s="23"/>
      <c r="M26" s="22"/>
      <c r="N26" s="22"/>
      <c r="O26" s="22"/>
      <c r="P26" s="22"/>
      <c r="Q26" s="22"/>
      <c r="R26" s="24"/>
      <c r="S26" s="25"/>
      <c r="T26" s="22"/>
      <c r="U26" s="22"/>
      <c r="V26" s="22"/>
    </row>
    <row r="27" spans="1:22">
      <c r="A27" s="9">
        <v>61099</v>
      </c>
      <c r="B27" s="11"/>
      <c r="C27" s="10" t="str">
        <f>VLOOKUP(A27,'MATER AKUN'!$A$7:$B$71,2,FALSE)</f>
        <v>Beban umum lain lain</v>
      </c>
      <c r="D27" s="12"/>
      <c r="E27" s="13"/>
      <c r="F27" s="14">
        <f ca="1">VLOOKUP(A27,'NERACA SALDO'!$A$10:$I$56,8,FALSE)</f>
        <v>0</v>
      </c>
      <c r="J27" s="22"/>
      <c r="K27" s="22"/>
      <c r="L27" s="23"/>
      <c r="M27" s="22"/>
      <c r="N27" s="22"/>
      <c r="O27" s="22"/>
      <c r="P27" s="22"/>
      <c r="Q27" s="22"/>
      <c r="R27" s="24"/>
      <c r="S27" s="25"/>
      <c r="T27" s="22"/>
      <c r="U27" s="22"/>
      <c r="V27" s="22"/>
    </row>
    <row r="28" spans="1:22">
      <c r="A28" s="9">
        <v>91001</v>
      </c>
      <c r="B28" s="11"/>
      <c r="C28" s="10" t="str">
        <f>VLOOKUP(A28,'MATER AKUN'!$A$7:$B$71,2,FALSE)</f>
        <v>Beban Adm. Bank</v>
      </c>
      <c r="D28" s="12"/>
      <c r="E28" s="13"/>
      <c r="F28" s="14">
        <f ca="1">VLOOKUP(A28,'NERACA SALDO'!$A$10:$I$56,8,FALSE)</f>
        <v>150000</v>
      </c>
      <c r="J28" s="22"/>
      <c r="K28" s="22"/>
      <c r="L28" s="23"/>
      <c r="M28" s="22"/>
      <c r="N28" s="22"/>
      <c r="O28" s="22"/>
      <c r="P28" s="22"/>
      <c r="Q28" s="22"/>
      <c r="R28" s="24"/>
      <c r="S28" s="25"/>
      <c r="T28" s="22"/>
      <c r="U28" s="22"/>
      <c r="V28" s="22"/>
    </row>
    <row r="29" spans="1:22">
      <c r="A29" s="9">
        <v>91002</v>
      </c>
      <c r="B29" s="11"/>
      <c r="C29" s="10" t="str">
        <f>VLOOKUP(A29,'MATER AKUN'!$A$7:$B$71,2,FALSE)</f>
        <v>Beban Bunga</v>
      </c>
      <c r="D29" s="12"/>
      <c r="E29" s="13"/>
      <c r="F29" s="14">
        <f ca="1">VLOOKUP(A29,'NERACA SALDO'!$A$10:$I$56,8,FALSE)</f>
        <v>1500000</v>
      </c>
      <c r="J29" s="22"/>
      <c r="K29" s="22"/>
      <c r="L29" s="23"/>
      <c r="M29" s="22"/>
      <c r="N29" s="22"/>
      <c r="O29" s="22"/>
      <c r="P29" s="22"/>
      <c r="Q29" s="22"/>
      <c r="R29" s="24"/>
      <c r="S29" s="25"/>
      <c r="T29" s="22"/>
      <c r="U29" s="22"/>
      <c r="V29" s="22"/>
    </row>
    <row r="30" spans="1:22">
      <c r="A30" s="9"/>
      <c r="B30" s="11"/>
      <c r="C30" s="10"/>
      <c r="D30" s="12"/>
      <c r="E30" s="13"/>
      <c r="F30" s="14"/>
      <c r="J30" s="22"/>
      <c r="K30" s="22"/>
      <c r="L30" s="23"/>
      <c r="M30" s="22"/>
      <c r="N30" s="22"/>
      <c r="O30" s="22"/>
      <c r="P30" s="22"/>
      <c r="Q30" s="22"/>
      <c r="R30" s="24"/>
      <c r="S30" s="25"/>
      <c r="T30" s="22"/>
      <c r="U30" s="22"/>
      <c r="V30" s="22"/>
    </row>
    <row r="31" spans="1:22">
      <c r="A31" s="9"/>
      <c r="B31" s="11" t="s">
        <v>254</v>
      </c>
      <c r="C31" s="11"/>
      <c r="D31" s="12"/>
      <c r="E31" s="13">
        <v>841750</v>
      </c>
      <c r="F31" s="14"/>
      <c r="J31" s="22"/>
      <c r="K31" s="22"/>
      <c r="L31" s="22"/>
      <c r="M31" s="22"/>
      <c r="N31" s="22"/>
      <c r="O31" s="22"/>
      <c r="P31" s="22"/>
      <c r="Q31" s="22"/>
      <c r="R31" s="24"/>
      <c r="S31" s="25"/>
      <c r="T31" s="22"/>
      <c r="U31" s="22"/>
      <c r="V31" s="22"/>
    </row>
    <row r="32" spans="1:22">
      <c r="A32" s="9">
        <v>32000</v>
      </c>
      <c r="B32" s="11"/>
      <c r="C32" s="10" t="str">
        <f>VLOOKUP(A32,'MATER AKUN'!$A$7:$B$71,2,FALSE)</f>
        <v>Laba ditahan priode lalu</v>
      </c>
      <c r="D32" s="12"/>
      <c r="E32" s="13"/>
      <c r="F32" s="14">
        <f>E31</f>
        <v>841750</v>
      </c>
      <c r="J32" s="22"/>
      <c r="K32" s="22"/>
      <c r="L32" s="22"/>
      <c r="M32" s="22"/>
      <c r="N32" s="22"/>
      <c r="O32" s="22"/>
      <c r="P32" s="22"/>
      <c r="Q32" s="22"/>
      <c r="R32" s="24"/>
      <c r="S32" s="25"/>
      <c r="T32" s="22"/>
      <c r="U32" s="22"/>
      <c r="V32" s="22"/>
    </row>
    <row r="33" spans="1:22">
      <c r="A33" s="15"/>
      <c r="B33" s="11"/>
      <c r="C33" s="11"/>
      <c r="D33" s="16"/>
      <c r="E33" s="17"/>
      <c r="F33" s="18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 ht="15.75">
      <c r="A34" s="387" t="s">
        <v>130</v>
      </c>
      <c r="B34" s="388"/>
      <c r="C34" s="389"/>
      <c r="D34" s="19"/>
      <c r="E34" s="20">
        <f ca="1">SUM(E7:E32)</f>
        <v>291153500</v>
      </c>
      <c r="F34" s="21">
        <f ca="1">SUM(F7:F32)</f>
        <v>291153500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</row>
  </sheetData>
  <mergeCells count="5">
    <mergeCell ref="A2:F2"/>
    <mergeCell ref="A3:F3"/>
    <mergeCell ref="A4:F4"/>
    <mergeCell ref="B6:C6"/>
    <mergeCell ref="A34:C3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"/>
  <sheetViews>
    <sheetView topLeftCell="A112" workbookViewId="0">
      <selection activeCell="G116" sqref="G116"/>
    </sheetView>
  </sheetViews>
  <sheetFormatPr defaultColWidth="9.140625" defaultRowHeight="15"/>
  <cols>
    <col min="1" max="1" width="9.5703125" style="176"/>
    <col min="2" max="2" width="10.28515625" style="176" customWidth="1"/>
    <col min="3" max="3" width="12.7109375" style="176" customWidth="1"/>
    <col min="4" max="4" width="35.7109375" style="176" customWidth="1"/>
    <col min="5" max="5" width="7" style="177" customWidth="1"/>
    <col min="6" max="7" width="21.5703125" style="176"/>
    <col min="8" max="8" width="12.7109375" style="176" customWidth="1"/>
    <col min="9" max="9" width="9.140625" style="176"/>
    <col min="10" max="10" width="13.42578125" style="176"/>
    <col min="11" max="11" width="13.85546875" style="176" customWidth="1"/>
    <col min="12" max="12" width="9.140625" style="176"/>
    <col min="13" max="14" width="14.42578125" style="176"/>
    <col min="15" max="16384" width="9.140625" style="176"/>
  </cols>
  <sheetData>
    <row r="1" spans="1:15">
      <c r="B1" s="178"/>
      <c r="C1" s="178"/>
      <c r="D1" s="178"/>
      <c r="E1" s="178"/>
      <c r="F1" s="178"/>
      <c r="G1" s="178"/>
      <c r="H1" s="178"/>
    </row>
    <row r="2" spans="1:15" ht="15.75">
      <c r="A2" s="307" t="s">
        <v>0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9"/>
    </row>
    <row r="3" spans="1:15" ht="15.75">
      <c r="A3" s="310" t="s">
        <v>131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2"/>
    </row>
    <row r="4" spans="1:15" ht="15.75">
      <c r="A4" s="313" t="s">
        <v>132</v>
      </c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5"/>
    </row>
    <row r="5" spans="1:15" ht="15.75">
      <c r="A5" s="179"/>
      <c r="B5" s="179"/>
      <c r="C5" s="179"/>
      <c r="D5" s="179"/>
      <c r="E5" s="180"/>
      <c r="F5" s="179"/>
      <c r="G5" s="179"/>
      <c r="H5" s="179"/>
      <c r="I5" s="179"/>
      <c r="J5" s="179"/>
      <c r="K5" s="179"/>
      <c r="L5" s="179"/>
      <c r="M5" s="179"/>
      <c r="N5" s="179"/>
    </row>
    <row r="6" spans="1:15" ht="15.75">
      <c r="A6" s="179"/>
      <c r="B6" s="179"/>
      <c r="C6" s="179"/>
      <c r="D6" s="179"/>
      <c r="E6" s="180"/>
      <c r="F6" s="179"/>
      <c r="G6" s="179"/>
      <c r="H6" s="179"/>
      <c r="I6" s="179"/>
      <c r="J6" s="179"/>
      <c r="K6" s="179"/>
      <c r="L6" s="179"/>
      <c r="M6" s="179"/>
      <c r="N6" s="179"/>
    </row>
    <row r="7" spans="1:15" ht="15.75">
      <c r="A7" s="323" t="s">
        <v>133</v>
      </c>
      <c r="B7" s="325" t="s">
        <v>134</v>
      </c>
      <c r="C7" s="318" t="s">
        <v>135</v>
      </c>
      <c r="D7" s="318" t="s">
        <v>136</v>
      </c>
      <c r="E7" s="318" t="s">
        <v>137</v>
      </c>
      <c r="F7" s="318" t="s">
        <v>6</v>
      </c>
      <c r="G7" s="318" t="s">
        <v>7</v>
      </c>
      <c r="H7" s="181" t="s">
        <v>63</v>
      </c>
      <c r="I7" s="316" t="s">
        <v>138</v>
      </c>
      <c r="J7" s="316"/>
      <c r="K7" s="316"/>
      <c r="L7" s="316" t="s">
        <v>139</v>
      </c>
      <c r="M7" s="316"/>
      <c r="N7" s="317"/>
    </row>
    <row r="8" spans="1:15" ht="15.75">
      <c r="A8" s="324"/>
      <c r="B8" s="326"/>
      <c r="C8" s="319"/>
      <c r="D8" s="319"/>
      <c r="E8" s="319"/>
      <c r="F8" s="319"/>
      <c r="G8" s="319"/>
      <c r="H8" s="182" t="s">
        <v>140</v>
      </c>
      <c r="I8" s="214" t="s">
        <v>141</v>
      </c>
      <c r="J8" s="214" t="s">
        <v>11</v>
      </c>
      <c r="K8" s="214" t="s">
        <v>91</v>
      </c>
      <c r="L8" s="214" t="s">
        <v>141</v>
      </c>
      <c r="M8" s="214" t="s">
        <v>11</v>
      </c>
      <c r="N8" s="215" t="s">
        <v>91</v>
      </c>
    </row>
    <row r="9" spans="1:15">
      <c r="A9" s="183">
        <v>11602</v>
      </c>
      <c r="B9" s="184">
        <v>38719</v>
      </c>
      <c r="C9" s="185" t="s">
        <v>142</v>
      </c>
      <c r="D9" s="186" t="str">
        <f>VLOOKUP(A9,'MATER AKUN'!$A$7:$B$71,2,FALSE)</f>
        <v>Uang muka pembelian</v>
      </c>
      <c r="E9" s="187"/>
      <c r="F9" s="188">
        <v>6000000</v>
      </c>
      <c r="G9" s="188"/>
      <c r="H9" s="189"/>
      <c r="I9" s="189"/>
      <c r="J9" s="197"/>
      <c r="K9" s="197"/>
      <c r="L9" s="189"/>
      <c r="M9" s="189"/>
      <c r="N9" s="216"/>
      <c r="O9" s="177"/>
    </row>
    <row r="10" spans="1:15">
      <c r="A10" s="190">
        <v>11201</v>
      </c>
      <c r="B10" s="191"/>
      <c r="C10" s="192"/>
      <c r="D10" s="98" t="str">
        <f>VLOOKUP(A10,'MATER AKUN'!$A$7:$B$71,2,FALSE)</f>
        <v>Bank BCA</v>
      </c>
      <c r="E10" s="193"/>
      <c r="F10" s="194"/>
      <c r="G10" s="194">
        <f>F9</f>
        <v>6000000</v>
      </c>
      <c r="H10" s="163"/>
      <c r="I10" s="163"/>
      <c r="J10" s="164"/>
      <c r="K10" s="164"/>
      <c r="L10" s="163"/>
      <c r="M10" s="163"/>
      <c r="N10" s="217"/>
      <c r="O10" s="177"/>
    </row>
    <row r="11" spans="1:15">
      <c r="A11" s="195">
        <v>21100</v>
      </c>
      <c r="B11" s="196">
        <v>38719</v>
      </c>
      <c r="C11" s="185" t="s">
        <v>143</v>
      </c>
      <c r="D11" s="186" t="str">
        <f>VLOOKUP(A11,'MATER AKUN'!$A$7:$B$71,2,FALSE)</f>
        <v>Hutang usaha</v>
      </c>
      <c r="E11" s="187" t="s">
        <v>95</v>
      </c>
      <c r="F11" s="197">
        <v>24000000</v>
      </c>
      <c r="G11" s="197"/>
      <c r="H11" s="189"/>
      <c r="I11" s="189"/>
      <c r="J11" s="197"/>
      <c r="K11" s="197"/>
      <c r="L11" s="189"/>
      <c r="M11" s="197"/>
      <c r="N11" s="218"/>
      <c r="O11" s="177"/>
    </row>
    <row r="12" spans="1:15">
      <c r="A12" s="198">
        <v>11201</v>
      </c>
      <c r="B12" s="145"/>
      <c r="C12" s="199"/>
      <c r="D12" s="98" t="str">
        <f>VLOOKUP(A12,'MATER AKUN'!$A$7:$B$71,2,FALSE)</f>
        <v>Bank BCA</v>
      </c>
      <c r="E12" s="193"/>
      <c r="F12" s="164"/>
      <c r="G12" s="164">
        <f>F11</f>
        <v>24000000</v>
      </c>
      <c r="H12" s="163"/>
      <c r="I12" s="163"/>
      <c r="J12" s="164"/>
      <c r="K12" s="164"/>
      <c r="L12" s="163"/>
      <c r="M12" s="164"/>
      <c r="N12" s="165"/>
      <c r="O12" s="177"/>
    </row>
    <row r="13" spans="1:15">
      <c r="A13" s="200">
        <v>11101</v>
      </c>
      <c r="B13" s="201">
        <v>38778</v>
      </c>
      <c r="C13" s="202" t="s">
        <v>144</v>
      </c>
      <c r="D13" s="203" t="str">
        <f>VLOOKUP(A13,'MATER AKUN'!$A$7:$B$71,2,FALSE)</f>
        <v xml:space="preserve">Kas ditangan </v>
      </c>
      <c r="E13" s="187"/>
      <c r="F13" s="197">
        <v>24956250</v>
      </c>
      <c r="G13" s="197"/>
      <c r="H13" s="189"/>
      <c r="I13" s="189"/>
      <c r="J13" s="197"/>
      <c r="K13" s="197"/>
      <c r="L13" s="189"/>
      <c r="M13" s="197"/>
      <c r="N13" s="218"/>
      <c r="O13" s="177"/>
    </row>
    <row r="14" spans="1:15">
      <c r="A14" s="204">
        <v>43000</v>
      </c>
      <c r="B14" s="138"/>
      <c r="C14" s="205"/>
      <c r="D14" s="123" t="str">
        <f>VLOOKUP(A14,'MATER AKUN'!$A$7:$B$71,2,FALSE)</f>
        <v>Potongan penjualan</v>
      </c>
      <c r="E14" s="206"/>
      <c r="F14" s="207">
        <v>562500</v>
      </c>
      <c r="G14" s="207"/>
      <c r="H14" s="159"/>
      <c r="I14" s="159"/>
      <c r="J14" s="207"/>
      <c r="K14" s="207"/>
      <c r="L14" s="159"/>
      <c r="M14" s="207"/>
      <c r="N14" s="161"/>
      <c r="O14" s="177"/>
    </row>
    <row r="15" spans="1:15">
      <c r="A15" s="204">
        <v>41000</v>
      </c>
      <c r="B15" s="138"/>
      <c r="C15" s="205"/>
      <c r="D15" s="123" t="str">
        <f>VLOOKUP(A15,'MATER AKUN'!$A$7:$B$71,2,FALSE)</f>
        <v xml:space="preserve">Penjualan </v>
      </c>
      <c r="E15" s="206"/>
      <c r="F15" s="207"/>
      <c r="G15" s="207">
        <v>23250000</v>
      </c>
      <c r="H15" s="159"/>
      <c r="I15" s="159"/>
      <c r="J15" s="207"/>
      <c r="K15" s="207"/>
      <c r="L15" s="159"/>
      <c r="M15" s="207"/>
      <c r="N15" s="161"/>
      <c r="O15" s="177"/>
    </row>
    <row r="16" spans="1:15">
      <c r="A16" s="204">
        <v>21403</v>
      </c>
      <c r="B16" s="138"/>
      <c r="C16" s="205"/>
      <c r="D16" s="123" t="str">
        <f>VLOOKUP(A16,'MATER AKUN'!$A$7:$B$71,2,FALSE)</f>
        <v>PPN Keluaran</v>
      </c>
      <c r="E16" s="206"/>
      <c r="F16" s="207"/>
      <c r="G16" s="207">
        <v>2268750</v>
      </c>
      <c r="H16" s="159"/>
      <c r="I16" s="159"/>
      <c r="J16" s="207"/>
      <c r="K16" s="207"/>
      <c r="L16" s="159"/>
      <c r="M16" s="207"/>
      <c r="N16" s="161"/>
      <c r="O16" s="177"/>
    </row>
    <row r="17" spans="1:15">
      <c r="A17" s="204">
        <v>51000</v>
      </c>
      <c r="B17" s="138"/>
      <c r="C17" s="205"/>
      <c r="D17" s="123" t="str">
        <f>VLOOKUP(A17,'MATER AKUN'!$A$7:$B$71,2,FALSE)</f>
        <v>Harga pokok penjualan</v>
      </c>
      <c r="E17" s="206"/>
      <c r="F17" s="207">
        <f>G18+G19</f>
        <v>19350000</v>
      </c>
      <c r="G17" s="207"/>
      <c r="H17" s="159"/>
      <c r="I17" s="159"/>
      <c r="J17" s="207"/>
      <c r="K17" s="207"/>
      <c r="L17" s="159"/>
      <c r="M17" s="207"/>
      <c r="N17" s="161"/>
      <c r="O17" s="177"/>
    </row>
    <row r="18" spans="1:15">
      <c r="A18" s="204">
        <v>11500</v>
      </c>
      <c r="B18" s="138"/>
      <c r="C18" s="205"/>
      <c r="D18" s="123" t="str">
        <f>VLOOKUP(A18,'MATER AKUN'!$A$7:$B$71,2,FALSE)</f>
        <v>Persediaan barang dagang</v>
      </c>
      <c r="E18" s="206"/>
      <c r="F18" s="207"/>
      <c r="G18" s="207">
        <v>9600000</v>
      </c>
      <c r="H18" s="159" t="s">
        <v>22</v>
      </c>
      <c r="I18" s="159"/>
      <c r="J18" s="207"/>
      <c r="K18" s="207"/>
      <c r="L18" s="159">
        <v>8</v>
      </c>
      <c r="M18" s="207">
        <v>1200000</v>
      </c>
      <c r="N18" s="161">
        <f>L18*M18</f>
        <v>9600000</v>
      </c>
      <c r="O18" s="177"/>
    </row>
    <row r="19" spans="1:15">
      <c r="A19" s="198">
        <v>11500</v>
      </c>
      <c r="B19" s="145"/>
      <c r="C19" s="199"/>
      <c r="D19" s="102" t="str">
        <f>VLOOKUP(A19,'MATER AKUN'!$A$7:$B$71,2,FALSE)</f>
        <v>Persediaan barang dagang</v>
      </c>
      <c r="E19" s="193"/>
      <c r="F19" s="164"/>
      <c r="G19" s="164">
        <v>9750000</v>
      </c>
      <c r="H19" s="163" t="s">
        <v>26</v>
      </c>
      <c r="I19" s="163"/>
      <c r="J19" s="164"/>
      <c r="K19" s="164"/>
      <c r="L19" s="163">
        <v>30</v>
      </c>
      <c r="M19" s="164">
        <v>375000</v>
      </c>
      <c r="N19" s="165">
        <f>L19*M19</f>
        <v>11250000</v>
      </c>
      <c r="O19" s="177"/>
    </row>
    <row r="20" spans="1:15">
      <c r="A20" s="200">
        <v>11202</v>
      </c>
      <c r="B20" s="201">
        <v>38720</v>
      </c>
      <c r="C20" s="202" t="s">
        <v>145</v>
      </c>
      <c r="D20" s="208" t="str">
        <f>VLOOKUP(A20,'MATER AKUN'!$A$7:$B$71,2,FALSE)</f>
        <v>Bank Mandiri</v>
      </c>
      <c r="E20" s="209"/>
      <c r="F20" s="210">
        <v>14550000</v>
      </c>
      <c r="G20" s="210"/>
      <c r="H20" s="211"/>
      <c r="I20" s="211"/>
      <c r="J20" s="210"/>
      <c r="K20" s="210"/>
      <c r="L20" s="211"/>
      <c r="M20" s="210"/>
      <c r="N20" s="219"/>
      <c r="O20" s="177"/>
    </row>
    <row r="21" spans="1:15">
      <c r="A21" s="204">
        <v>43000</v>
      </c>
      <c r="B21" s="138"/>
      <c r="C21" s="205"/>
      <c r="D21" s="89" t="str">
        <f>VLOOKUP(A21,'MATER AKUN'!$A$7:$B$71,2,FALSE)</f>
        <v>Potongan penjualan</v>
      </c>
      <c r="E21" s="206"/>
      <c r="F21" s="207">
        <v>450000</v>
      </c>
      <c r="G21" s="207"/>
      <c r="H21" s="159"/>
      <c r="I21" s="159"/>
      <c r="J21" s="207"/>
      <c r="K21" s="207"/>
      <c r="L21" s="159"/>
      <c r="M21" s="207"/>
      <c r="N21" s="161"/>
      <c r="O21" s="177"/>
    </row>
    <row r="22" spans="1:15">
      <c r="A22" s="198">
        <v>11301</v>
      </c>
      <c r="B22" s="145"/>
      <c r="C22" s="199"/>
      <c r="D22" s="89" t="str">
        <f>VLOOKUP(A22,'MATER AKUN'!$A$7:$B$71,2,FALSE)</f>
        <v xml:space="preserve">Piutang Usaha </v>
      </c>
      <c r="E22" s="193" t="s">
        <v>77</v>
      </c>
      <c r="F22" s="164"/>
      <c r="G22" s="164">
        <f>F20+F21</f>
        <v>15000000</v>
      </c>
      <c r="H22" s="163"/>
      <c r="I22" s="163"/>
      <c r="J22" s="164"/>
      <c r="K22" s="164"/>
      <c r="L22" s="163"/>
      <c r="M22" s="164"/>
      <c r="N22" s="165"/>
      <c r="O22" s="177"/>
    </row>
    <row r="23" spans="1:15">
      <c r="A23" s="200">
        <v>11500</v>
      </c>
      <c r="B23" s="201">
        <v>38721</v>
      </c>
      <c r="C23" s="202" t="s">
        <v>146</v>
      </c>
      <c r="D23" s="89" t="str">
        <f>VLOOKUP(A23,'MATER AKUN'!$A$7:$B$71,2,FALSE)</f>
        <v>Persediaan barang dagang</v>
      </c>
      <c r="E23" s="209"/>
      <c r="F23" s="210">
        <v>12000000</v>
      </c>
      <c r="G23" s="210"/>
      <c r="H23" s="211" t="s">
        <v>22</v>
      </c>
      <c r="I23" s="211">
        <v>10</v>
      </c>
      <c r="J23" s="210">
        <v>1200000</v>
      </c>
      <c r="K23" s="210">
        <f>I23*J23</f>
        <v>12000000</v>
      </c>
      <c r="L23" s="211"/>
      <c r="M23" s="210"/>
      <c r="N23" s="219"/>
      <c r="O23" s="177"/>
    </row>
    <row r="24" spans="1:15">
      <c r="A24" s="204">
        <v>11500</v>
      </c>
      <c r="B24" s="138"/>
      <c r="C24" s="205"/>
      <c r="D24" s="89" t="str">
        <f>VLOOKUP(A24,'MATER AKUN'!$A$7:$B$71,2,FALSE)</f>
        <v>Persediaan barang dagang</v>
      </c>
      <c r="E24" s="206"/>
      <c r="F24" s="207">
        <v>9750000</v>
      </c>
      <c r="G24" s="207"/>
      <c r="H24" s="159" t="s">
        <v>26</v>
      </c>
      <c r="I24" s="159">
        <v>30</v>
      </c>
      <c r="J24" s="207">
        <v>325000</v>
      </c>
      <c r="K24" s="207">
        <f>J24*I24</f>
        <v>9750000</v>
      </c>
      <c r="L24" s="159"/>
      <c r="M24" s="207"/>
      <c r="N24" s="161"/>
      <c r="O24" s="177"/>
    </row>
    <row r="25" spans="1:15">
      <c r="A25" s="204">
        <v>11601</v>
      </c>
      <c r="B25" s="138"/>
      <c r="C25" s="205"/>
      <c r="D25" s="89" t="str">
        <f>VLOOKUP(A25,'MATER AKUN'!$A$7:$B$71,2,FALSE)</f>
        <v>PPN Masukan</v>
      </c>
      <c r="E25" s="206"/>
      <c r="F25" s="207">
        <v>2175000</v>
      </c>
      <c r="G25" s="207"/>
      <c r="H25" s="159"/>
      <c r="I25" s="159"/>
      <c r="J25" s="207"/>
      <c r="K25" s="207"/>
      <c r="L25" s="159"/>
      <c r="M25" s="207"/>
      <c r="N25" s="161"/>
      <c r="O25" s="177"/>
    </row>
    <row r="26" spans="1:15">
      <c r="A26" s="204">
        <v>11201</v>
      </c>
      <c r="B26" s="138"/>
      <c r="C26" s="205"/>
      <c r="D26" s="89" t="str">
        <f>VLOOKUP(A26,'MATER AKUN'!$A$7:$B$71,2,FALSE)</f>
        <v>Bank BCA</v>
      </c>
      <c r="E26" s="206"/>
      <c r="F26" s="207"/>
      <c r="G26" s="207">
        <v>6000000</v>
      </c>
      <c r="H26" s="159"/>
      <c r="I26" s="159"/>
      <c r="J26" s="207"/>
      <c r="K26" s="207"/>
      <c r="L26" s="159"/>
      <c r="M26" s="207"/>
      <c r="N26" s="161"/>
      <c r="O26" s="177"/>
    </row>
    <row r="27" spans="1:15">
      <c r="A27" s="198">
        <v>21100</v>
      </c>
      <c r="B27" s="145"/>
      <c r="C27" s="98"/>
      <c r="D27" s="98" t="str">
        <f>VLOOKUP(A27,'MATER AKUN'!$A$7:$B$71,2,FALSE)</f>
        <v>Hutang usaha</v>
      </c>
      <c r="E27" s="212" t="s">
        <v>95</v>
      </c>
      <c r="F27" s="164"/>
      <c r="G27" s="164">
        <v>17925000</v>
      </c>
      <c r="H27" s="163"/>
      <c r="I27" s="163"/>
      <c r="J27" s="164"/>
      <c r="K27" s="164"/>
      <c r="L27" s="163"/>
      <c r="M27" s="164"/>
      <c r="N27" s="165"/>
      <c r="O27" s="177"/>
    </row>
    <row r="28" spans="1:15">
      <c r="A28" s="200">
        <v>21100</v>
      </c>
      <c r="B28" s="201">
        <v>38723</v>
      </c>
      <c r="C28" s="208" t="s">
        <v>147</v>
      </c>
      <c r="D28" s="208" t="str">
        <f>VLOOKUP(A28,'MATER AKUN'!$A$7:$B$71,2,FALSE)</f>
        <v>Hutang usaha</v>
      </c>
      <c r="E28" s="213" t="s">
        <v>95</v>
      </c>
      <c r="F28" s="210">
        <f>G29+G30</f>
        <v>357500</v>
      </c>
      <c r="G28" s="210"/>
      <c r="H28" s="211"/>
      <c r="I28" s="211"/>
      <c r="J28" s="210"/>
      <c r="K28" s="210"/>
      <c r="L28" s="211"/>
      <c r="M28" s="210"/>
      <c r="N28" s="219"/>
      <c r="O28" s="177"/>
    </row>
    <row r="29" spans="1:15">
      <c r="A29" s="204">
        <v>11500</v>
      </c>
      <c r="B29" s="138"/>
      <c r="C29" s="89"/>
      <c r="D29" s="89" t="str">
        <f>VLOOKUP(A29,'MATER AKUN'!$A$7:$B$71,2,FALSE)</f>
        <v>Persediaan barang dagang</v>
      </c>
      <c r="E29" s="173"/>
      <c r="F29" s="207"/>
      <c r="G29" s="207">
        <v>325000</v>
      </c>
      <c r="H29" s="159" t="s">
        <v>26</v>
      </c>
      <c r="I29" s="159">
        <v>-1</v>
      </c>
      <c r="J29" s="207">
        <v>325000</v>
      </c>
      <c r="K29" s="207">
        <v>325000</v>
      </c>
      <c r="L29" s="159"/>
      <c r="M29" s="207"/>
      <c r="N29" s="161"/>
      <c r="O29" s="177"/>
    </row>
    <row r="30" spans="1:15">
      <c r="A30" s="198">
        <v>11601</v>
      </c>
      <c r="B30" s="145"/>
      <c r="C30" s="98"/>
      <c r="D30" s="98" t="str">
        <f>VLOOKUP(A30,'MATER AKUN'!$A$7:$B$71,2,FALSE)</f>
        <v>PPN Masukan</v>
      </c>
      <c r="E30" s="212"/>
      <c r="F30" s="164"/>
      <c r="G30" s="164">
        <v>32500</v>
      </c>
      <c r="H30" s="163"/>
      <c r="I30" s="163"/>
      <c r="J30" s="164"/>
      <c r="K30" s="164"/>
      <c r="L30" s="163"/>
      <c r="M30" s="164"/>
      <c r="N30" s="165"/>
      <c r="O30" s="177"/>
    </row>
    <row r="31" spans="1:15">
      <c r="A31" s="200">
        <v>11201</v>
      </c>
      <c r="B31" s="201">
        <v>38724</v>
      </c>
      <c r="C31" s="208" t="s">
        <v>148</v>
      </c>
      <c r="D31" s="208" t="str">
        <f>VLOOKUP(A31,'MATER AKUN'!$A$7:$B$71,2,FALSE)</f>
        <v>Bank BCA</v>
      </c>
      <c r="E31" s="213"/>
      <c r="F31" s="210">
        <v>30000000</v>
      </c>
      <c r="G31" s="210"/>
      <c r="H31" s="211"/>
      <c r="I31" s="211"/>
      <c r="J31" s="210"/>
      <c r="K31" s="210"/>
      <c r="L31" s="211"/>
      <c r="M31" s="210"/>
      <c r="N31" s="219"/>
      <c r="O31" s="177"/>
    </row>
    <row r="32" spans="1:15">
      <c r="A32" s="198">
        <v>11202</v>
      </c>
      <c r="B32" s="145"/>
      <c r="C32" s="98"/>
      <c r="D32" s="98" t="str">
        <f>VLOOKUP(A32,'MATER AKUN'!$A$7:$B$71,2,FALSE)</f>
        <v>Bank Mandiri</v>
      </c>
      <c r="E32" s="212"/>
      <c r="F32" s="164"/>
      <c r="G32" s="164">
        <f>F31</f>
        <v>30000000</v>
      </c>
      <c r="H32" s="163"/>
      <c r="I32" s="163"/>
      <c r="J32" s="164"/>
      <c r="K32" s="164"/>
      <c r="L32" s="163"/>
      <c r="M32" s="164"/>
      <c r="N32" s="165"/>
      <c r="O32" s="177"/>
    </row>
    <row r="33" spans="1:15">
      <c r="A33" s="200">
        <v>11201</v>
      </c>
      <c r="B33" s="201">
        <v>38726</v>
      </c>
      <c r="C33" s="208" t="s">
        <v>149</v>
      </c>
      <c r="D33" s="208" t="str">
        <f>VLOOKUP(A33,'MATER AKUN'!$A$7:$B$71,2,FALSE)</f>
        <v>Bank BCA</v>
      </c>
      <c r="E33" s="213"/>
      <c r="F33" s="210">
        <v>14700000</v>
      </c>
      <c r="G33" s="210"/>
      <c r="H33" s="211"/>
      <c r="I33" s="211"/>
      <c r="J33" s="210"/>
      <c r="K33" s="210"/>
      <c r="L33" s="211"/>
      <c r="M33" s="210"/>
      <c r="N33" s="219"/>
      <c r="O33" s="177"/>
    </row>
    <row r="34" spans="1:15">
      <c r="A34" s="204">
        <v>43000</v>
      </c>
      <c r="B34" s="138"/>
      <c r="C34" s="89"/>
      <c r="D34" s="89" t="str">
        <f>VLOOKUP(A34,'MATER AKUN'!$A$7:$B$71,2,FALSE)</f>
        <v>Potongan penjualan</v>
      </c>
      <c r="E34" s="173"/>
      <c r="F34" s="207">
        <v>300000</v>
      </c>
      <c r="G34" s="207"/>
      <c r="H34" s="159"/>
      <c r="I34" s="159"/>
      <c r="J34" s="207"/>
      <c r="K34" s="207"/>
      <c r="L34" s="159"/>
      <c r="M34" s="207"/>
      <c r="N34" s="161"/>
      <c r="O34" s="177"/>
    </row>
    <row r="35" spans="1:15">
      <c r="A35" s="198">
        <v>11301</v>
      </c>
      <c r="B35" s="145"/>
      <c r="C35" s="98"/>
      <c r="D35" s="98" t="str">
        <f>VLOOKUP(A35,'MATER AKUN'!$A$7:$B$71,2,FALSE)</f>
        <v xml:space="preserve">Piutang Usaha </v>
      </c>
      <c r="E35" s="212" t="s">
        <v>71</v>
      </c>
      <c r="F35" s="164"/>
      <c r="G35" s="164">
        <f>F33+F34</f>
        <v>15000000</v>
      </c>
      <c r="H35" s="163"/>
      <c r="I35" s="163"/>
      <c r="J35" s="164"/>
      <c r="K35" s="164"/>
      <c r="L35" s="163"/>
      <c r="M35" s="164"/>
      <c r="N35" s="165"/>
      <c r="O35" s="177"/>
    </row>
    <row r="36" spans="1:15">
      <c r="A36" s="200">
        <v>11202</v>
      </c>
      <c r="B36" s="201">
        <v>38726</v>
      </c>
      <c r="C36" s="208" t="s">
        <v>149</v>
      </c>
      <c r="D36" s="208" t="str">
        <f>VLOOKUP(A36,'MATER AKUN'!$A$7:$B$71,2,FALSE)</f>
        <v>Bank Mandiri</v>
      </c>
      <c r="E36" s="213"/>
      <c r="F36" s="210">
        <v>9800000</v>
      </c>
      <c r="G36" s="210"/>
      <c r="H36" s="211"/>
      <c r="I36" s="211"/>
      <c r="J36" s="210"/>
      <c r="K36" s="210"/>
      <c r="L36" s="211"/>
      <c r="M36" s="210"/>
      <c r="N36" s="219"/>
      <c r="O36" s="177"/>
    </row>
    <row r="37" spans="1:15">
      <c r="A37" s="204">
        <v>43000</v>
      </c>
      <c r="B37" s="138"/>
      <c r="C37" s="89"/>
      <c r="D37" s="89" t="str">
        <f>VLOOKUP(A37,'MATER AKUN'!$A$7:$B$71,2,FALSE)</f>
        <v>Potongan penjualan</v>
      </c>
      <c r="E37" s="173"/>
      <c r="F37" s="207">
        <v>200000</v>
      </c>
      <c r="G37" s="207"/>
      <c r="H37" s="159"/>
      <c r="I37" s="159"/>
      <c r="J37" s="207"/>
      <c r="K37" s="207"/>
      <c r="L37" s="159"/>
      <c r="M37" s="207"/>
      <c r="N37" s="161"/>
      <c r="O37" s="177"/>
    </row>
    <row r="38" spans="1:15">
      <c r="A38" s="198">
        <v>11301</v>
      </c>
      <c r="B38" s="145"/>
      <c r="C38" s="98"/>
      <c r="D38" s="98" t="str">
        <f>VLOOKUP(A38,'MATER AKUN'!$A$7:$B$71,2,FALSE)</f>
        <v xml:space="preserve">Piutang Usaha </v>
      </c>
      <c r="E38" s="212" t="s">
        <v>68</v>
      </c>
      <c r="F38" s="164"/>
      <c r="G38" s="164">
        <f>F36+F37</f>
        <v>10000000</v>
      </c>
      <c r="H38" s="163"/>
      <c r="I38" s="163"/>
      <c r="J38" s="164"/>
      <c r="K38" s="164"/>
      <c r="L38" s="163"/>
      <c r="M38" s="164"/>
      <c r="N38" s="165"/>
      <c r="O38" s="177"/>
    </row>
    <row r="39" spans="1:15">
      <c r="A39" s="200">
        <v>61002</v>
      </c>
      <c r="B39" s="201">
        <v>38727</v>
      </c>
      <c r="C39" s="208" t="s">
        <v>150</v>
      </c>
      <c r="D39" s="208" t="str">
        <f>VLOOKUP(A39,'MATER AKUN'!$A$7:$B$71,2,FALSE)</f>
        <v>Beban sewa</v>
      </c>
      <c r="E39" s="213"/>
      <c r="F39" s="210">
        <v>2500000</v>
      </c>
      <c r="G39" s="210"/>
      <c r="H39" s="211"/>
      <c r="I39" s="211"/>
      <c r="J39" s="210"/>
      <c r="K39" s="210"/>
      <c r="L39" s="211"/>
      <c r="M39" s="210"/>
      <c r="N39" s="219"/>
      <c r="O39" s="177"/>
    </row>
    <row r="40" spans="1:15">
      <c r="A40" s="204">
        <v>11601</v>
      </c>
      <c r="B40" s="138"/>
      <c r="C40" s="89"/>
      <c r="D40" s="89" t="str">
        <f>VLOOKUP(A40,'MATER AKUN'!$A$7:$B$71,2,FALSE)</f>
        <v>PPN Masukan</v>
      </c>
      <c r="E40" s="173"/>
      <c r="F40" s="207">
        <v>250000</v>
      </c>
      <c r="G40" s="207"/>
      <c r="H40" s="159"/>
      <c r="I40" s="159"/>
      <c r="J40" s="207"/>
      <c r="K40" s="207"/>
      <c r="L40" s="159"/>
      <c r="M40" s="207"/>
      <c r="N40" s="161"/>
      <c r="O40" s="177"/>
    </row>
    <row r="41" spans="1:15">
      <c r="A41" s="204">
        <v>21402</v>
      </c>
      <c r="B41" s="138"/>
      <c r="C41" s="89"/>
      <c r="D41" s="89" t="str">
        <f>VLOOKUP(A41,'MATER AKUN'!$A$7:$B$71,2,FALSE)</f>
        <v>Utang PPh pasal 4</v>
      </c>
      <c r="E41" s="173"/>
      <c r="F41" s="207"/>
      <c r="G41" s="207">
        <v>250000</v>
      </c>
      <c r="H41" s="159"/>
      <c r="I41" s="159"/>
      <c r="J41" s="207"/>
      <c r="K41" s="207"/>
      <c r="L41" s="159"/>
      <c r="M41" s="207"/>
      <c r="N41" s="161"/>
      <c r="O41" s="177"/>
    </row>
    <row r="42" spans="1:15">
      <c r="A42" s="198">
        <v>11202</v>
      </c>
      <c r="B42" s="145"/>
      <c r="C42" s="98"/>
      <c r="D42" s="98" t="str">
        <f>VLOOKUP(A42,'MATER AKUN'!$A$7:$B$71,2,FALSE)</f>
        <v>Bank Mandiri</v>
      </c>
      <c r="E42" s="212"/>
      <c r="F42" s="164"/>
      <c r="G42" s="164">
        <v>2500000</v>
      </c>
      <c r="H42" s="163"/>
      <c r="I42" s="163"/>
      <c r="J42" s="164"/>
      <c r="K42" s="164"/>
      <c r="L42" s="163"/>
      <c r="M42" s="164"/>
      <c r="N42" s="165"/>
      <c r="O42" s="177"/>
    </row>
    <row r="43" spans="1:15">
      <c r="A43" s="200">
        <v>42000</v>
      </c>
      <c r="B43" s="201">
        <v>38728</v>
      </c>
      <c r="C43" s="208" t="s">
        <v>151</v>
      </c>
      <c r="D43" s="208" t="str">
        <f>VLOOKUP(A43,'MATER AKUN'!$A$7:$B$71,2,FALSE)</f>
        <v>Retur penjualan</v>
      </c>
      <c r="E43" s="213"/>
      <c r="F43" s="210">
        <v>375000</v>
      </c>
      <c r="G43" s="210"/>
      <c r="H43" s="211"/>
      <c r="I43" s="211"/>
      <c r="J43" s="210"/>
      <c r="K43" s="210"/>
      <c r="L43" s="211"/>
      <c r="M43" s="210"/>
      <c r="N43" s="219"/>
      <c r="O43" s="177"/>
    </row>
    <row r="44" spans="1:15">
      <c r="A44" s="204">
        <v>21403</v>
      </c>
      <c r="B44" s="138"/>
      <c r="C44" s="89"/>
      <c r="D44" s="89" t="str">
        <f>VLOOKUP(A44,'MATER AKUN'!$A$7:$B$71,2,FALSE)</f>
        <v>PPN Keluaran</v>
      </c>
      <c r="E44" s="173"/>
      <c r="F44" s="207">
        <v>37500</v>
      </c>
      <c r="G44" s="207"/>
      <c r="H44" s="159"/>
      <c r="I44" s="159"/>
      <c r="J44" s="207"/>
      <c r="K44" s="207"/>
      <c r="L44" s="159"/>
      <c r="M44" s="207"/>
      <c r="N44" s="161"/>
      <c r="O44" s="177"/>
    </row>
    <row r="45" spans="1:15">
      <c r="A45" s="204">
        <v>11101</v>
      </c>
      <c r="B45" s="138"/>
      <c r="C45" s="89"/>
      <c r="D45" s="89" t="str">
        <f>VLOOKUP(A45,'MATER AKUN'!$A$7:$B$71,2,FALSE)</f>
        <v xml:space="preserve">Kas ditangan </v>
      </c>
      <c r="E45" s="173"/>
      <c r="F45" s="207"/>
      <c r="G45" s="207">
        <f>F43+F44</f>
        <v>412500</v>
      </c>
      <c r="H45" s="159"/>
      <c r="I45" s="159"/>
      <c r="J45" s="207"/>
      <c r="K45" s="207"/>
      <c r="L45" s="159"/>
      <c r="M45" s="207"/>
      <c r="N45" s="161"/>
      <c r="O45" s="177"/>
    </row>
    <row r="46" spans="1:15">
      <c r="A46" s="204">
        <v>11500</v>
      </c>
      <c r="B46" s="138"/>
      <c r="C46" s="89"/>
      <c r="D46" s="89" t="str">
        <f>VLOOKUP(A46,'MATER AKUN'!$A$7:$B$71,2,FALSE)</f>
        <v>Persediaan barang dagang</v>
      </c>
      <c r="E46" s="173"/>
      <c r="F46" s="207">
        <v>325000</v>
      </c>
      <c r="G46" s="207"/>
      <c r="H46" s="159" t="s">
        <v>26</v>
      </c>
      <c r="I46" s="159"/>
      <c r="J46" s="207"/>
      <c r="K46" s="207"/>
      <c r="L46" s="159">
        <v>-1</v>
      </c>
      <c r="M46" s="207">
        <v>325000</v>
      </c>
      <c r="N46" s="161">
        <f>M46*L46</f>
        <v>-325000</v>
      </c>
      <c r="O46" s="177"/>
    </row>
    <row r="47" spans="1:15">
      <c r="A47" s="198">
        <v>51000</v>
      </c>
      <c r="B47" s="145"/>
      <c r="C47" s="98"/>
      <c r="D47" s="98" t="str">
        <f>VLOOKUP(A47,'MATER AKUN'!$A$7:$B$71,2,FALSE)</f>
        <v>Harga pokok penjualan</v>
      </c>
      <c r="E47" s="212"/>
      <c r="F47" s="164"/>
      <c r="G47" s="164">
        <f>F46</f>
        <v>325000</v>
      </c>
      <c r="H47" s="163"/>
      <c r="I47" s="163"/>
      <c r="J47" s="164"/>
      <c r="K47" s="164"/>
      <c r="L47" s="163"/>
      <c r="M47" s="164"/>
      <c r="N47" s="165"/>
      <c r="O47" s="177"/>
    </row>
    <row r="48" spans="1:15">
      <c r="A48" s="200">
        <v>11202</v>
      </c>
      <c r="B48" s="201">
        <v>38730</v>
      </c>
      <c r="C48" s="208" t="s">
        <v>152</v>
      </c>
      <c r="D48" s="208" t="str">
        <f>VLOOKUP(A48,'MATER AKUN'!$A$7:$B$71,2,FALSE)</f>
        <v>Bank Mandiri</v>
      </c>
      <c r="E48" s="213"/>
      <c r="F48" s="210">
        <v>7500000</v>
      </c>
      <c r="G48" s="210"/>
      <c r="H48" s="211"/>
      <c r="I48" s="211"/>
      <c r="J48" s="210"/>
      <c r="K48" s="210"/>
      <c r="L48" s="211"/>
      <c r="M48" s="210"/>
      <c r="N48" s="219"/>
      <c r="O48" s="177"/>
    </row>
    <row r="49" spans="1:19">
      <c r="A49" s="198">
        <v>11301</v>
      </c>
      <c r="B49" s="145"/>
      <c r="C49" s="98"/>
      <c r="D49" s="98" t="str">
        <f>VLOOKUP(A49,'MATER AKUN'!$A$7:$B$71,2,FALSE)</f>
        <v xml:space="preserve">Piutang Usaha </v>
      </c>
      <c r="E49" s="212" t="s">
        <v>74</v>
      </c>
      <c r="F49" s="164"/>
      <c r="G49" s="164">
        <f>F48</f>
        <v>7500000</v>
      </c>
      <c r="H49" s="163"/>
      <c r="I49" s="163"/>
      <c r="J49" s="164"/>
      <c r="K49" s="164"/>
      <c r="L49" s="163"/>
      <c r="M49" s="164"/>
      <c r="N49" s="165"/>
      <c r="O49" s="177"/>
    </row>
    <row r="50" spans="1:19">
      <c r="A50" s="200">
        <v>61004</v>
      </c>
      <c r="B50" s="201">
        <v>38736</v>
      </c>
      <c r="C50" s="208" t="s">
        <v>153</v>
      </c>
      <c r="D50" s="208" t="str">
        <f>VLOOKUP(A50,'MATER AKUN'!$A$7:$B$71,2,FALSE)</f>
        <v>Beban Listrik</v>
      </c>
      <c r="E50" s="213"/>
      <c r="F50" s="210">
        <v>175000</v>
      </c>
      <c r="G50" s="210"/>
      <c r="H50" s="211"/>
      <c r="I50" s="211"/>
      <c r="J50" s="210"/>
      <c r="K50" s="210"/>
      <c r="L50" s="211"/>
      <c r="M50" s="210"/>
      <c r="N50" s="219"/>
      <c r="O50" s="177"/>
    </row>
    <row r="51" spans="1:19">
      <c r="A51" s="204">
        <v>61005</v>
      </c>
      <c r="B51" s="138"/>
      <c r="C51" s="89"/>
      <c r="D51" s="89" t="str">
        <f>VLOOKUP(A51,'MATER AKUN'!$A$7:$B$71,2,FALSE)</f>
        <v>Beban telepon</v>
      </c>
      <c r="E51" s="173"/>
      <c r="F51" s="207">
        <v>212500</v>
      </c>
      <c r="G51" s="207"/>
      <c r="H51" s="159"/>
      <c r="I51" s="159"/>
      <c r="J51" s="207"/>
      <c r="K51" s="207"/>
      <c r="L51" s="159"/>
      <c r="M51" s="207"/>
      <c r="N51" s="161"/>
      <c r="O51" s="177"/>
    </row>
    <row r="52" spans="1:19">
      <c r="A52" s="198">
        <v>11202</v>
      </c>
      <c r="B52" s="145"/>
      <c r="C52" s="98"/>
      <c r="D52" s="98" t="str">
        <f>VLOOKUP(A52,'MATER AKUN'!$A$7:$B$71,2,FALSE)</f>
        <v>Bank Mandiri</v>
      </c>
      <c r="E52" s="212"/>
      <c r="F52" s="164"/>
      <c r="G52" s="164">
        <f>F50+F51</f>
        <v>387500</v>
      </c>
      <c r="H52" s="163"/>
      <c r="I52" s="163"/>
      <c r="J52" s="164"/>
      <c r="K52" s="164"/>
      <c r="L52" s="163"/>
      <c r="M52" s="164"/>
      <c r="N52" s="165"/>
      <c r="O52" s="177"/>
    </row>
    <row r="53" spans="1:19">
      <c r="A53" s="200">
        <v>12201</v>
      </c>
      <c r="B53" s="201">
        <v>38738</v>
      </c>
      <c r="C53" s="208" t="s">
        <v>154</v>
      </c>
      <c r="D53" s="208" t="str">
        <f>VLOOKUP(A53,'MATER AKUN'!$A$7:$B$71,2,FALSE)</f>
        <v>Kendaraan</v>
      </c>
      <c r="E53" s="213"/>
      <c r="F53" s="210">
        <v>11500000</v>
      </c>
      <c r="G53" s="210"/>
      <c r="H53" s="211"/>
      <c r="I53" s="211"/>
      <c r="J53" s="210"/>
      <c r="K53" s="210"/>
      <c r="L53" s="211"/>
      <c r="M53" s="210"/>
      <c r="N53" s="219"/>
      <c r="O53" s="177"/>
    </row>
    <row r="54" spans="1:19">
      <c r="A54" s="198">
        <v>11201</v>
      </c>
      <c r="B54" s="145"/>
      <c r="C54" s="98"/>
      <c r="D54" s="98" t="str">
        <f>VLOOKUP(A54,'MATER AKUN'!$A$7:$B$71,2,FALSE)</f>
        <v>Bank BCA</v>
      </c>
      <c r="E54" s="212"/>
      <c r="F54" s="164"/>
      <c r="G54" s="164">
        <f>F53</f>
        <v>11500000</v>
      </c>
      <c r="H54" s="163"/>
      <c r="I54" s="163"/>
      <c r="J54" s="164"/>
      <c r="K54" s="164"/>
      <c r="L54" s="163"/>
      <c r="M54" s="164"/>
      <c r="N54" s="165"/>
      <c r="O54" s="177"/>
    </row>
    <row r="55" spans="1:19">
      <c r="A55" s="200">
        <v>11301</v>
      </c>
      <c r="B55" s="201">
        <v>38739</v>
      </c>
      <c r="C55" s="208"/>
      <c r="D55" s="208" t="str">
        <f>VLOOKUP(A55,'MATER AKUN'!$A$7:$B$71,2,FALSE)</f>
        <v xml:space="preserve">Piutang Usaha </v>
      </c>
      <c r="E55" s="213" t="s">
        <v>71</v>
      </c>
      <c r="F55" s="210">
        <f>G56+G57</f>
        <v>29425000</v>
      </c>
      <c r="G55" s="210"/>
      <c r="H55" s="211"/>
      <c r="I55" s="211"/>
      <c r="J55" s="210"/>
      <c r="K55" s="210"/>
      <c r="L55" s="211"/>
      <c r="M55" s="210"/>
      <c r="N55" s="219"/>
      <c r="O55" s="177"/>
    </row>
    <row r="56" spans="1:19">
      <c r="A56" s="204">
        <v>41000</v>
      </c>
      <c r="B56" s="138"/>
      <c r="C56" s="89"/>
      <c r="D56" s="89" t="str">
        <f>VLOOKUP(A56,'MATER AKUN'!$A$7:$B$71,2,FALSE)</f>
        <v xml:space="preserve">Penjualan </v>
      </c>
      <c r="E56" s="173"/>
      <c r="F56" s="207"/>
      <c r="G56" s="207">
        <v>26750000</v>
      </c>
      <c r="H56" s="159"/>
      <c r="I56" s="159"/>
      <c r="J56" s="207"/>
      <c r="K56" s="207"/>
      <c r="L56" s="159"/>
      <c r="M56" s="207"/>
      <c r="N56" s="161"/>
      <c r="O56" s="177"/>
    </row>
    <row r="57" spans="1:19">
      <c r="A57" s="204">
        <v>21403</v>
      </c>
      <c r="B57" s="138"/>
      <c r="C57" s="89"/>
      <c r="D57" s="89" t="str">
        <f>VLOOKUP(A57,'MATER AKUN'!$A$7:$B$71,2,FALSE)</f>
        <v>PPN Keluaran</v>
      </c>
      <c r="E57" s="173"/>
      <c r="F57" s="207"/>
      <c r="G57" s="207">
        <v>2675000</v>
      </c>
      <c r="H57" s="159"/>
      <c r="I57" s="159"/>
      <c r="J57" s="207"/>
      <c r="K57" s="207"/>
      <c r="L57" s="159"/>
      <c r="M57" s="207"/>
      <c r="N57" s="161"/>
      <c r="O57" s="177"/>
    </row>
    <row r="58" spans="1:19">
      <c r="A58" s="204">
        <v>51000</v>
      </c>
      <c r="B58" s="138"/>
      <c r="C58" s="89"/>
      <c r="D58" s="89" t="str">
        <f>VLOOKUP(A58,'MATER AKUN'!$A$7:$B$71,2,FALSE)</f>
        <v>Harga pokok penjualan</v>
      </c>
      <c r="E58" s="173"/>
      <c r="F58" s="207">
        <f>G59+G60+G61</f>
        <v>21940000</v>
      </c>
      <c r="G58" s="207"/>
      <c r="H58" s="159"/>
      <c r="I58" s="159"/>
      <c r="J58" s="207"/>
      <c r="K58" s="207"/>
      <c r="L58" s="159"/>
      <c r="M58" s="207"/>
      <c r="N58" s="161"/>
      <c r="O58" s="177"/>
    </row>
    <row r="59" spans="1:19">
      <c r="A59" s="204">
        <v>11500</v>
      </c>
      <c r="B59" s="138"/>
      <c r="C59" s="89"/>
      <c r="D59" s="89" t="str">
        <f>VLOOKUP(A59,'MATER AKUN'!$A$7:$B$71,2,FALSE)</f>
        <v>Persediaan barang dagang</v>
      </c>
      <c r="E59" s="173"/>
      <c r="F59" s="207"/>
      <c r="G59" s="207">
        <v>7000000</v>
      </c>
      <c r="H59" s="159" t="s">
        <v>29</v>
      </c>
      <c r="I59" s="159"/>
      <c r="J59" s="207"/>
      <c r="K59" s="207"/>
      <c r="L59" s="159">
        <v>5</v>
      </c>
      <c r="M59" s="207">
        <v>1400000</v>
      </c>
      <c r="N59" s="161">
        <f>L59*M59</f>
        <v>7000000</v>
      </c>
      <c r="O59" s="177"/>
    </row>
    <row r="60" spans="1:19">
      <c r="A60" s="204">
        <v>11500</v>
      </c>
      <c r="B60" s="138"/>
      <c r="C60" s="89"/>
      <c r="D60" s="89" t="str">
        <f>VLOOKUP(A60,'MATER AKUN'!$A$7:$B$71,2,FALSE)</f>
        <v>Persediaan barang dagang</v>
      </c>
      <c r="E60" s="173"/>
      <c r="F60" s="207"/>
      <c r="G60" s="207">
        <v>11400000</v>
      </c>
      <c r="H60" s="159" t="s">
        <v>37</v>
      </c>
      <c r="I60" s="159"/>
      <c r="J60" s="207"/>
      <c r="K60" s="207"/>
      <c r="L60" s="159">
        <v>4</v>
      </c>
      <c r="M60" s="207">
        <v>2850000</v>
      </c>
      <c r="N60" s="161">
        <f>L60*M60</f>
        <v>11400000</v>
      </c>
      <c r="O60" s="177"/>
    </row>
    <row r="61" spans="1:19">
      <c r="A61" s="198">
        <v>11500</v>
      </c>
      <c r="B61" s="145"/>
      <c r="C61" s="208" t="s">
        <v>155</v>
      </c>
      <c r="D61" s="98" t="str">
        <f>VLOOKUP(A61,'MATER AKUN'!$A$7:$B$71,2,FALSE)</f>
        <v>Persediaan barang dagang</v>
      </c>
      <c r="E61" s="212"/>
      <c r="F61" s="164"/>
      <c r="G61" s="164">
        <v>3540000</v>
      </c>
      <c r="H61" s="163" t="s">
        <v>40</v>
      </c>
      <c r="I61" s="163"/>
      <c r="J61" s="164"/>
      <c r="K61" s="164"/>
      <c r="L61" s="163">
        <v>6</v>
      </c>
      <c r="M61" s="164">
        <v>590000</v>
      </c>
      <c r="N61" s="165">
        <f>L61*M61</f>
        <v>3540000</v>
      </c>
      <c r="O61" s="177"/>
    </row>
    <row r="62" spans="1:19">
      <c r="A62" s="200">
        <v>11301</v>
      </c>
      <c r="B62" s="201">
        <v>38740</v>
      </c>
      <c r="D62" s="208" t="str">
        <f>VLOOKUP(A62,'MATER AKUN'!$A$7:$B$71,2,FALSE)</f>
        <v xml:space="preserve">Piutang Usaha </v>
      </c>
      <c r="E62" s="213" t="s">
        <v>68</v>
      </c>
      <c r="F62" s="210">
        <v>30535000</v>
      </c>
      <c r="G62" s="210"/>
      <c r="H62" s="211"/>
      <c r="I62" s="211"/>
      <c r="J62" s="210"/>
      <c r="K62" s="210"/>
      <c r="L62" s="211"/>
      <c r="M62" s="210"/>
      <c r="N62" s="219"/>
      <c r="O62" s="177"/>
      <c r="S62" s="176" t="s">
        <v>156</v>
      </c>
    </row>
    <row r="63" spans="1:19">
      <c r="A63" s="204">
        <v>11202</v>
      </c>
      <c r="B63" s="138"/>
      <c r="C63" s="89"/>
      <c r="D63" s="89" t="str">
        <f>VLOOKUP(A63,'MATER AKUN'!$A$7:$B$71,2,FALSE)</f>
        <v>Bank Mandiri</v>
      </c>
      <c r="E63" s="173"/>
      <c r="F63" s="207">
        <v>10000000</v>
      </c>
      <c r="G63" s="207"/>
      <c r="H63" s="159"/>
      <c r="I63" s="159"/>
      <c r="J63" s="207"/>
      <c r="K63" s="207"/>
      <c r="L63" s="159"/>
      <c r="M63" s="207"/>
      <c r="N63" s="161"/>
      <c r="O63" s="177"/>
    </row>
    <row r="64" spans="1:19">
      <c r="A64" s="204">
        <v>41000</v>
      </c>
      <c r="B64" s="138"/>
      <c r="C64" s="89"/>
      <c r="D64" s="89" t="str">
        <f>VLOOKUP(A64,'MATER AKUN'!$A$7:$B$71,2,FALSE)</f>
        <v xml:space="preserve">Penjualan </v>
      </c>
      <c r="E64" s="173"/>
      <c r="F64" s="207"/>
      <c r="G64" s="207">
        <v>36850000</v>
      </c>
      <c r="H64" s="159"/>
      <c r="I64" s="159"/>
      <c r="J64" s="207"/>
      <c r="K64" s="207"/>
      <c r="L64" s="159"/>
      <c r="M64" s="207"/>
      <c r="N64" s="161"/>
      <c r="O64" s="177"/>
    </row>
    <row r="65" spans="1:15">
      <c r="A65" s="204">
        <v>21403</v>
      </c>
      <c r="B65" s="138"/>
      <c r="C65" s="89"/>
      <c r="D65" s="89" t="str">
        <f>VLOOKUP(A65,'MATER AKUN'!$A$7:$B$71,2,FALSE)</f>
        <v>PPN Keluaran</v>
      </c>
      <c r="E65" s="173"/>
      <c r="F65" s="207"/>
      <c r="G65" s="207">
        <v>3685000</v>
      </c>
      <c r="H65" s="159"/>
      <c r="I65" s="159"/>
      <c r="J65" s="207"/>
      <c r="K65" s="207"/>
      <c r="L65" s="159"/>
      <c r="M65" s="207"/>
      <c r="N65" s="161"/>
      <c r="O65" s="177"/>
    </row>
    <row r="66" spans="1:15">
      <c r="A66" s="204">
        <v>51000</v>
      </c>
      <c r="B66" s="138"/>
      <c r="C66" s="89"/>
      <c r="D66" s="89" t="str">
        <f>VLOOKUP(A66,'MATER AKUN'!$A$7:$B$71,2,FALSE)</f>
        <v>Harga pokok penjualan</v>
      </c>
      <c r="E66" s="173"/>
      <c r="F66" s="207">
        <f>G67+G68+G69</f>
        <v>29150000</v>
      </c>
      <c r="G66" s="207"/>
      <c r="H66" s="159"/>
      <c r="I66" s="159"/>
      <c r="J66" s="207"/>
      <c r="K66" s="207"/>
      <c r="L66" s="159"/>
      <c r="M66" s="207"/>
      <c r="N66" s="161"/>
      <c r="O66" s="177"/>
    </row>
    <row r="67" spans="1:15">
      <c r="A67" s="204">
        <v>11500</v>
      </c>
      <c r="B67" s="138"/>
      <c r="C67" s="89"/>
      <c r="D67" s="89" t="str">
        <f>VLOOKUP(A67,'MATER AKUN'!$A$7:$B$71,2,FALSE)</f>
        <v>Persediaan barang dagang</v>
      </c>
      <c r="E67" s="173"/>
      <c r="F67" s="207"/>
      <c r="G67" s="207">
        <v>7800000</v>
      </c>
      <c r="H67" s="159" t="s">
        <v>45</v>
      </c>
      <c r="I67" s="159"/>
      <c r="J67" s="207"/>
      <c r="K67" s="207"/>
      <c r="L67" s="159">
        <v>6</v>
      </c>
      <c r="M67" s="207">
        <v>1300000</v>
      </c>
      <c r="N67" s="161">
        <f>L67*M67</f>
        <v>7800000</v>
      </c>
      <c r="O67" s="177"/>
    </row>
    <row r="68" spans="1:15">
      <c r="A68" s="204">
        <v>11500</v>
      </c>
      <c r="B68" s="138"/>
      <c r="C68" s="89"/>
      <c r="D68" s="89" t="str">
        <f>VLOOKUP(A68,'MATER AKUN'!$A$7:$B$71,2,FALSE)</f>
        <v>Persediaan barang dagang</v>
      </c>
      <c r="E68" s="173"/>
      <c r="F68" s="207"/>
      <c r="G68" s="207">
        <v>14000000</v>
      </c>
      <c r="H68" s="159" t="s">
        <v>48</v>
      </c>
      <c r="I68" s="159"/>
      <c r="J68" s="207"/>
      <c r="K68" s="207"/>
      <c r="L68" s="159">
        <v>8</v>
      </c>
      <c r="M68" s="207">
        <v>1750000</v>
      </c>
      <c r="N68" s="161">
        <f>L68*M68</f>
        <v>14000000</v>
      </c>
      <c r="O68" s="177"/>
    </row>
    <row r="69" spans="1:15">
      <c r="A69" s="198">
        <v>11500</v>
      </c>
      <c r="B69" s="145"/>
      <c r="C69" s="98"/>
      <c r="D69" s="98" t="str">
        <f>VLOOKUP(A69,'MATER AKUN'!$A$7:$B$71,2,FALSE)</f>
        <v>Persediaan barang dagang</v>
      </c>
      <c r="E69" s="212"/>
      <c r="F69" s="164"/>
      <c r="G69" s="164">
        <v>7350000</v>
      </c>
      <c r="H69" s="163" t="s">
        <v>51</v>
      </c>
      <c r="I69" s="163"/>
      <c r="J69" s="164"/>
      <c r="K69" s="164"/>
      <c r="L69" s="163">
        <v>7</v>
      </c>
      <c r="M69" s="164">
        <v>1050000</v>
      </c>
      <c r="N69" s="165">
        <f>L69*M69</f>
        <v>7350000</v>
      </c>
      <c r="O69" s="177"/>
    </row>
    <row r="70" spans="1:15">
      <c r="A70" s="200">
        <v>42000</v>
      </c>
      <c r="B70" s="201">
        <v>38741</v>
      </c>
      <c r="C70" s="208" t="s">
        <v>157</v>
      </c>
      <c r="D70" s="208" t="str">
        <f>VLOOKUP(A70,'MATER AKUN'!$A$7:$B$71,2,FALSE)</f>
        <v>Retur penjualan</v>
      </c>
      <c r="E70" s="213"/>
      <c r="F70" s="210">
        <v>1750000</v>
      </c>
      <c r="G70" s="210"/>
      <c r="H70" s="211"/>
      <c r="I70" s="211"/>
      <c r="J70" s="210"/>
      <c r="K70" s="210"/>
      <c r="L70" s="211"/>
      <c r="M70" s="210"/>
      <c r="N70" s="219"/>
      <c r="O70" s="177"/>
    </row>
    <row r="71" spans="1:15">
      <c r="A71" s="204">
        <v>21403</v>
      </c>
      <c r="B71" s="138"/>
      <c r="C71" s="89"/>
      <c r="D71" s="89" t="str">
        <f>VLOOKUP(A71,'MATER AKUN'!$A$7:$B$71,2,FALSE)</f>
        <v>PPN Keluaran</v>
      </c>
      <c r="E71" s="173"/>
      <c r="F71" s="207">
        <v>175000</v>
      </c>
      <c r="G71" s="207"/>
      <c r="H71" s="159"/>
      <c r="I71" s="159"/>
      <c r="J71" s="207"/>
      <c r="K71" s="207"/>
      <c r="L71" s="159"/>
      <c r="M71" s="207"/>
      <c r="N71" s="161"/>
      <c r="O71" s="177"/>
    </row>
    <row r="72" spans="1:15">
      <c r="A72" s="204">
        <v>11301</v>
      </c>
      <c r="B72" s="138"/>
      <c r="C72" s="89"/>
      <c r="D72" s="89" t="str">
        <f>VLOOKUP(A72,'MATER AKUN'!$A$7:$B$71,2,FALSE)</f>
        <v xml:space="preserve">Piutang Usaha </v>
      </c>
      <c r="E72" s="173" t="s">
        <v>71</v>
      </c>
      <c r="F72" s="207"/>
      <c r="G72" s="207">
        <f>F70+F71</f>
        <v>1925000</v>
      </c>
      <c r="H72" s="159"/>
      <c r="I72" s="159"/>
      <c r="J72" s="207"/>
      <c r="K72" s="207"/>
      <c r="L72" s="159"/>
      <c r="M72" s="207"/>
      <c r="N72" s="161"/>
      <c r="O72" s="177"/>
    </row>
    <row r="73" spans="1:15">
      <c r="A73" s="204">
        <v>11500</v>
      </c>
      <c r="B73" s="138"/>
      <c r="C73" s="89"/>
      <c r="D73" s="89" t="str">
        <f>VLOOKUP(A73,'MATER AKUN'!$A$7:$B$71,2,FALSE)</f>
        <v>Persediaan barang dagang</v>
      </c>
      <c r="E73" s="173"/>
      <c r="F73" s="207">
        <v>1400000</v>
      </c>
      <c r="G73" s="207"/>
      <c r="H73" s="159" t="s">
        <v>29</v>
      </c>
      <c r="I73" s="159"/>
      <c r="J73" s="207"/>
      <c r="K73" s="207"/>
      <c r="L73" s="159">
        <v>-1</v>
      </c>
      <c r="M73" s="207">
        <v>1400000</v>
      </c>
      <c r="N73" s="161">
        <f>L73*M73</f>
        <v>-1400000</v>
      </c>
      <c r="O73" s="177"/>
    </row>
    <row r="74" spans="1:15">
      <c r="A74" s="220">
        <v>51000</v>
      </c>
      <c r="B74" s="221"/>
      <c r="C74" s="222"/>
      <c r="D74" s="98" t="str">
        <f>VLOOKUP(A74,'MATER AKUN'!$A$7:$B$71,2,FALSE)</f>
        <v>Harga pokok penjualan</v>
      </c>
      <c r="E74" s="223"/>
      <c r="F74" s="224"/>
      <c r="G74" s="224">
        <f>F73</f>
        <v>1400000</v>
      </c>
      <c r="H74" s="223"/>
      <c r="I74" s="223"/>
      <c r="J74" s="224"/>
      <c r="K74" s="224"/>
      <c r="L74" s="223"/>
      <c r="M74" s="224"/>
      <c r="N74" s="261"/>
      <c r="O74" s="177"/>
    </row>
    <row r="75" spans="1:15">
      <c r="A75" s="225">
        <v>11202</v>
      </c>
      <c r="B75" s="226">
        <v>38743</v>
      </c>
      <c r="C75" s="227" t="s">
        <v>158</v>
      </c>
      <c r="D75" s="208" t="str">
        <f>VLOOKUP(A75,'MATER AKUN'!$A$7:$B$71,2,FALSE)</f>
        <v>Bank Mandiri</v>
      </c>
      <c r="E75" s="228"/>
      <c r="F75" s="229">
        <v>30049000</v>
      </c>
      <c r="G75" s="229"/>
      <c r="H75" s="228"/>
      <c r="I75" s="228"/>
      <c r="J75" s="229"/>
      <c r="K75" s="229"/>
      <c r="L75" s="228"/>
      <c r="M75" s="229"/>
      <c r="N75" s="262"/>
      <c r="O75" s="177"/>
    </row>
    <row r="76" spans="1:15">
      <c r="A76" s="230">
        <v>43000</v>
      </c>
      <c r="B76" s="231"/>
      <c r="C76" s="232"/>
      <c r="D76" s="89" t="str">
        <f>VLOOKUP(A76,'MATER AKUN'!$A$7:$B$71,2,FALSE)</f>
        <v>Potongan penjualan</v>
      </c>
      <c r="E76" s="233"/>
      <c r="F76" s="234">
        <v>1510000</v>
      </c>
      <c r="G76" s="234"/>
      <c r="H76" s="233"/>
      <c r="I76" s="233"/>
      <c r="J76" s="234"/>
      <c r="K76" s="234"/>
      <c r="L76" s="233"/>
      <c r="M76" s="234"/>
      <c r="N76" s="263"/>
      <c r="O76" s="177"/>
    </row>
    <row r="77" spans="1:15">
      <c r="A77" s="230">
        <v>21403</v>
      </c>
      <c r="B77" s="231"/>
      <c r="C77" s="232"/>
      <c r="D77" s="89" t="str">
        <f>VLOOKUP(A77,'MATER AKUN'!$A$7:$B$71,2,FALSE)</f>
        <v>PPN Keluaran</v>
      </c>
      <c r="E77" s="233"/>
      <c r="F77" s="234"/>
      <c r="G77" s="234">
        <v>2869000</v>
      </c>
      <c r="H77" s="233"/>
      <c r="I77" s="233"/>
      <c r="J77" s="234"/>
      <c r="K77" s="234"/>
      <c r="L77" s="233"/>
      <c r="M77" s="234"/>
      <c r="N77" s="263"/>
      <c r="O77" s="177"/>
    </row>
    <row r="78" spans="1:15">
      <c r="A78" s="230">
        <v>41000</v>
      </c>
      <c r="B78" s="231"/>
      <c r="C78" s="232"/>
      <c r="D78" s="89" t="str">
        <f>VLOOKUP(A78,'MATER AKUN'!$A$7:$B$71,2,FALSE)</f>
        <v xml:space="preserve">Penjualan </v>
      </c>
      <c r="E78" s="233"/>
      <c r="F78" s="234"/>
      <c r="G78" s="234">
        <v>28690000</v>
      </c>
      <c r="H78" s="233"/>
      <c r="I78" s="233"/>
      <c r="J78" s="234"/>
      <c r="K78" s="234"/>
      <c r="L78" s="233"/>
      <c r="M78" s="234"/>
      <c r="N78" s="263"/>
      <c r="O78" s="177"/>
    </row>
    <row r="79" spans="1:15">
      <c r="A79" s="230">
        <v>51000</v>
      </c>
      <c r="B79" s="231"/>
      <c r="C79" s="232"/>
      <c r="D79" s="89" t="str">
        <f>VLOOKUP(A79,'MATER AKUN'!$A$7:$B$71,2,FALSE)</f>
        <v>Harga pokok penjualan</v>
      </c>
      <c r="E79" s="233"/>
      <c r="F79" s="234">
        <f>G80+G81+G82</f>
        <v>24250000</v>
      </c>
      <c r="G79" s="234"/>
      <c r="H79" s="233"/>
      <c r="I79" s="233"/>
      <c r="J79" s="234"/>
      <c r="K79" s="234"/>
      <c r="L79" s="233"/>
      <c r="M79" s="234"/>
      <c r="N79" s="263"/>
      <c r="O79" s="177"/>
    </row>
    <row r="80" spans="1:15">
      <c r="A80" s="230">
        <v>11500</v>
      </c>
      <c r="B80" s="231"/>
      <c r="C80" s="232"/>
      <c r="D80" s="89" t="str">
        <f>VLOOKUP(A80,'MATER AKUN'!$A$7:$B$71,2,FALSE)</f>
        <v>Persediaan barang dagang</v>
      </c>
      <c r="E80" s="233"/>
      <c r="F80" s="234"/>
      <c r="G80" s="234">
        <v>11200000</v>
      </c>
      <c r="H80" s="233" t="s">
        <v>29</v>
      </c>
      <c r="I80" s="233"/>
      <c r="J80" s="234"/>
      <c r="K80" s="234"/>
      <c r="L80" s="233">
        <v>8</v>
      </c>
      <c r="M80" s="234">
        <v>1400000</v>
      </c>
      <c r="N80" s="263">
        <f>L80*M80</f>
        <v>11200000</v>
      </c>
      <c r="O80" s="177"/>
    </row>
    <row r="81" spans="1:15">
      <c r="A81" s="230">
        <v>11500</v>
      </c>
      <c r="B81" s="231"/>
      <c r="C81" s="232"/>
      <c r="D81" s="89" t="str">
        <f>VLOOKUP(A81,'MATER AKUN'!$A$7:$B$71,2,FALSE)</f>
        <v>Persediaan barang dagang</v>
      </c>
      <c r="E81" s="233"/>
      <c r="F81" s="234"/>
      <c r="G81" s="234">
        <v>7800000</v>
      </c>
      <c r="H81" s="233" t="s">
        <v>45</v>
      </c>
      <c r="I81" s="233"/>
      <c r="J81" s="234"/>
      <c r="K81" s="234"/>
      <c r="L81" s="233">
        <v>6</v>
      </c>
      <c r="M81" s="234">
        <v>1300000</v>
      </c>
      <c r="N81" s="263">
        <f>L81*M81</f>
        <v>7800000</v>
      </c>
      <c r="O81" s="177"/>
    </row>
    <row r="82" spans="1:15">
      <c r="A82" s="220">
        <v>11500</v>
      </c>
      <c r="B82" s="221"/>
      <c r="C82" s="222"/>
      <c r="D82" s="98" t="str">
        <f>VLOOKUP(A82,'MATER AKUN'!$A$7:$B$71,2,FALSE)</f>
        <v>Persediaan barang dagang</v>
      </c>
      <c r="E82" s="223"/>
      <c r="F82" s="224"/>
      <c r="G82" s="224">
        <v>5250000</v>
      </c>
      <c r="H82" s="223" t="s">
        <v>48</v>
      </c>
      <c r="I82" s="223"/>
      <c r="J82" s="224"/>
      <c r="K82" s="224"/>
      <c r="L82" s="223">
        <v>3</v>
      </c>
      <c r="M82" s="224">
        <v>1750000</v>
      </c>
      <c r="N82" s="261">
        <f>L82*M82</f>
        <v>5250000</v>
      </c>
      <c r="O82" s="177"/>
    </row>
    <row r="83" spans="1:15">
      <c r="A83" s="225">
        <v>11401</v>
      </c>
      <c r="B83" s="226">
        <v>38744</v>
      </c>
      <c r="C83" s="227" t="s">
        <v>159</v>
      </c>
      <c r="D83" s="208" t="str">
        <f>VLOOKUP(A83,'MATER AKUN'!$A$7:$B$71,2,FALSE)</f>
        <v>Piutang Karyawan</v>
      </c>
      <c r="E83" s="228"/>
      <c r="F83" s="229">
        <v>2500000</v>
      </c>
      <c r="G83" s="229"/>
      <c r="H83" s="228"/>
      <c r="I83" s="228"/>
      <c r="J83" s="229"/>
      <c r="K83" s="229"/>
      <c r="L83" s="228"/>
      <c r="M83" s="229"/>
      <c r="N83" s="262"/>
      <c r="O83" s="177"/>
    </row>
    <row r="84" spans="1:15">
      <c r="A84" s="220">
        <v>11201</v>
      </c>
      <c r="B84" s="221"/>
      <c r="C84" s="222"/>
      <c r="D84" s="98" t="str">
        <f>VLOOKUP(A84,'MATER AKUN'!$A$7:$B$71,2,FALSE)</f>
        <v>Bank BCA</v>
      </c>
      <c r="E84" s="223"/>
      <c r="F84" s="224"/>
      <c r="G84" s="224">
        <f>F83</f>
        <v>2500000</v>
      </c>
      <c r="H84" s="223"/>
      <c r="I84" s="223"/>
      <c r="J84" s="224"/>
      <c r="K84" s="224"/>
      <c r="L84" s="223"/>
      <c r="M84" s="224"/>
      <c r="N84" s="261"/>
      <c r="O84" s="177"/>
    </row>
    <row r="85" spans="1:15">
      <c r="A85" s="225">
        <v>21100</v>
      </c>
      <c r="B85" s="226">
        <v>38745</v>
      </c>
      <c r="C85" s="227" t="s">
        <v>160</v>
      </c>
      <c r="D85" s="208" t="str">
        <f>VLOOKUP(A85,'MATER AKUN'!$A$7:$B$71,2,FALSE)</f>
        <v>Hutang usaha</v>
      </c>
      <c r="E85" s="228" t="s">
        <v>101</v>
      </c>
      <c r="F85" s="229">
        <f>G86+G87</f>
        <v>22000000</v>
      </c>
      <c r="G85" s="229"/>
      <c r="H85" s="228"/>
      <c r="I85" s="228"/>
      <c r="J85" s="229"/>
      <c r="K85" s="229"/>
      <c r="L85" s="228"/>
      <c r="M85" s="229"/>
      <c r="N85" s="262"/>
      <c r="O85" s="177"/>
    </row>
    <row r="86" spans="1:15">
      <c r="A86" s="230">
        <v>11201</v>
      </c>
      <c r="B86" s="231"/>
      <c r="C86" s="232"/>
      <c r="D86" s="89" t="str">
        <f>VLOOKUP(A86,'MATER AKUN'!$A$7:$B$71,2,FALSE)</f>
        <v>Bank BCA</v>
      </c>
      <c r="E86" s="233"/>
      <c r="F86" s="234"/>
      <c r="G86" s="234">
        <v>10000000</v>
      </c>
      <c r="H86" s="233"/>
      <c r="I86" s="233"/>
      <c r="J86" s="234"/>
      <c r="K86" s="234"/>
      <c r="L86" s="233"/>
      <c r="M86" s="234"/>
      <c r="N86" s="263"/>
      <c r="O86" s="177"/>
    </row>
    <row r="87" spans="1:15">
      <c r="A87" s="220">
        <v>11202</v>
      </c>
      <c r="B87" s="221"/>
      <c r="C87" s="222"/>
      <c r="D87" s="98" t="str">
        <f>VLOOKUP(A87,'MATER AKUN'!$A$7:$B$71,2,FALSE)</f>
        <v>Bank Mandiri</v>
      </c>
      <c r="E87" s="223"/>
      <c r="F87" s="224"/>
      <c r="G87" s="224">
        <v>12000000</v>
      </c>
      <c r="H87" s="223"/>
      <c r="I87" s="223"/>
      <c r="J87" s="224"/>
      <c r="K87" s="224"/>
      <c r="L87" s="223"/>
      <c r="M87" s="224"/>
      <c r="N87" s="261"/>
      <c r="O87" s="177"/>
    </row>
    <row r="88" spans="1:15">
      <c r="A88" s="225">
        <v>61008</v>
      </c>
      <c r="B88" s="226">
        <v>38746</v>
      </c>
      <c r="C88" s="227" t="s">
        <v>161</v>
      </c>
      <c r="D88" s="208" t="str">
        <f>VLOOKUP(A88,'MATER AKUN'!$A$7:$B$71,2,FALSE)</f>
        <v>Beban Pemasaran</v>
      </c>
      <c r="E88" s="228"/>
      <c r="F88" s="229">
        <v>750000</v>
      </c>
      <c r="G88" s="229"/>
      <c r="H88" s="228"/>
      <c r="I88" s="228"/>
      <c r="J88" s="229"/>
      <c r="K88" s="229"/>
      <c r="L88" s="228"/>
      <c r="M88" s="229"/>
      <c r="N88" s="262"/>
      <c r="O88" s="177"/>
    </row>
    <row r="89" spans="1:15">
      <c r="A89" s="230">
        <v>61009</v>
      </c>
      <c r="B89" s="231"/>
      <c r="C89" s="232"/>
      <c r="D89" s="89" t="str">
        <f>VLOOKUP(A89,'MATER AKUN'!$A$7:$B$71,2,FALSE)</f>
        <v>Beban transportasi</v>
      </c>
      <c r="E89" s="233"/>
      <c r="F89" s="234">
        <v>250000</v>
      </c>
      <c r="G89" s="234"/>
      <c r="H89" s="233"/>
      <c r="I89" s="233"/>
      <c r="J89" s="234"/>
      <c r="K89" s="234"/>
      <c r="L89" s="233"/>
      <c r="M89" s="234"/>
      <c r="N89" s="263"/>
      <c r="O89" s="177"/>
    </row>
    <row r="90" spans="1:15">
      <c r="A90" s="230">
        <v>61010</v>
      </c>
      <c r="B90" s="231"/>
      <c r="C90" s="232"/>
      <c r="D90" s="89" t="str">
        <f>VLOOKUP(A90,'MATER AKUN'!$A$7:$B$71,2,FALSE)</f>
        <v>Beban perawatan ac</v>
      </c>
      <c r="E90" s="233"/>
      <c r="F90" s="234">
        <v>200000</v>
      </c>
      <c r="G90" s="234"/>
      <c r="H90" s="233"/>
      <c r="I90" s="233"/>
      <c r="J90" s="234"/>
      <c r="K90" s="234"/>
      <c r="L90" s="233"/>
      <c r="M90" s="234"/>
      <c r="N90" s="263"/>
      <c r="O90" s="177"/>
    </row>
    <row r="91" spans="1:15">
      <c r="A91" s="230">
        <v>61011</v>
      </c>
      <c r="B91" s="231"/>
      <c r="C91" s="232"/>
      <c r="D91" s="89" t="str">
        <f>VLOOKUP(A91,'MATER AKUN'!$A$7:$B$71,2,FALSE)</f>
        <v>Beban perlengkapan kantor</v>
      </c>
      <c r="E91" s="233"/>
      <c r="F91" s="234">
        <v>50000</v>
      </c>
      <c r="G91" s="234"/>
      <c r="H91" s="233"/>
      <c r="I91" s="233"/>
      <c r="J91" s="234"/>
      <c r="K91" s="234"/>
      <c r="L91" s="233"/>
      <c r="M91" s="234"/>
      <c r="N91" s="263"/>
      <c r="O91" s="177"/>
    </row>
    <row r="92" spans="1:15">
      <c r="A92" s="220">
        <v>11201</v>
      </c>
      <c r="B92" s="221"/>
      <c r="C92" s="222"/>
      <c r="D92" s="98" t="str">
        <f>VLOOKUP(A92,'MATER AKUN'!$A$7:$B$71,2,FALSE)</f>
        <v>Bank BCA</v>
      </c>
      <c r="E92" s="223"/>
      <c r="F92" s="224"/>
      <c r="G92" s="224">
        <f>SUM(F88:F91)</f>
        <v>1250000</v>
      </c>
      <c r="H92" s="223"/>
      <c r="I92" s="223"/>
      <c r="J92" s="224"/>
      <c r="K92" s="224"/>
      <c r="L92" s="223"/>
      <c r="M92" s="224"/>
      <c r="N92" s="261"/>
      <c r="O92" s="177"/>
    </row>
    <row r="93" spans="1:15">
      <c r="A93" s="225">
        <v>11101</v>
      </c>
      <c r="B93" s="226">
        <v>38746</v>
      </c>
      <c r="C93" s="227" t="s">
        <v>162</v>
      </c>
      <c r="D93" s="208" t="str">
        <f>VLOOKUP(A93,'MATER AKUN'!$A$7:$B$71,2,FALSE)</f>
        <v xml:space="preserve">Kas ditangan </v>
      </c>
      <c r="E93" s="228"/>
      <c r="F93" s="229">
        <v>5500000</v>
      </c>
      <c r="G93" s="229"/>
      <c r="H93" s="228"/>
      <c r="I93" s="228"/>
      <c r="J93" s="229"/>
      <c r="K93" s="229"/>
      <c r="L93" s="228"/>
      <c r="M93" s="229"/>
      <c r="N93" s="262"/>
      <c r="O93" s="177"/>
    </row>
    <row r="94" spans="1:15">
      <c r="A94" s="230">
        <v>12202</v>
      </c>
      <c r="B94" s="231"/>
      <c r="C94" s="232"/>
      <c r="D94" s="89" t="str">
        <f>VLOOKUP(A94,'MATER AKUN'!$A$7:$B$71,2,FALSE)</f>
        <v>Akm. Penyusutan kendaraan</v>
      </c>
      <c r="E94" s="233"/>
      <c r="F94" s="234">
        <v>1500000</v>
      </c>
      <c r="G94" s="234"/>
      <c r="H94" s="233"/>
      <c r="I94" s="233"/>
      <c r="J94" s="234"/>
      <c r="K94" s="234"/>
      <c r="L94" s="233"/>
      <c r="M94" s="234"/>
      <c r="N94" s="263"/>
      <c r="O94" s="177"/>
    </row>
    <row r="95" spans="1:15">
      <c r="A95" s="230">
        <v>12201</v>
      </c>
      <c r="B95" s="231"/>
      <c r="C95" s="232"/>
      <c r="D95" s="89" t="str">
        <f>VLOOKUP(A95,'MATER AKUN'!$A$7:$B$71,2,FALSE)</f>
        <v>Kendaraan</v>
      </c>
      <c r="E95" s="233"/>
      <c r="F95" s="234"/>
      <c r="G95" s="234">
        <v>6000000</v>
      </c>
      <c r="H95" s="233"/>
      <c r="I95" s="233"/>
      <c r="J95" s="234"/>
      <c r="K95" s="234"/>
      <c r="L95" s="233"/>
      <c r="M95" s="234"/>
      <c r="N95" s="263"/>
      <c r="O95" s="177"/>
    </row>
    <row r="96" spans="1:15">
      <c r="A96" s="220">
        <v>81001</v>
      </c>
      <c r="B96" s="221"/>
      <c r="C96" s="222"/>
      <c r="D96" s="98" t="str">
        <f>VLOOKUP(A96,'MATER AKUN'!$A$7:$B$71,2,FALSE)</f>
        <v>Laba penjualan aktiva tetap</v>
      </c>
      <c r="E96" s="223"/>
      <c r="F96" s="224"/>
      <c r="G96" s="224">
        <v>1000000</v>
      </c>
      <c r="H96" s="223"/>
      <c r="I96" s="223"/>
      <c r="J96" s="224"/>
      <c r="K96" s="224"/>
      <c r="L96" s="223"/>
      <c r="M96" s="224"/>
      <c r="N96" s="261"/>
      <c r="O96" s="177"/>
    </row>
    <row r="97" spans="1:15">
      <c r="A97" s="225">
        <v>11101</v>
      </c>
      <c r="B97" s="226">
        <v>38746</v>
      </c>
      <c r="C97" s="227" t="s">
        <v>163</v>
      </c>
      <c r="D97" s="208" t="str">
        <f>VLOOKUP(A97,'MATER AKUN'!$A$7:$B$71,2,FALSE)</f>
        <v xml:space="preserve">Kas ditangan </v>
      </c>
      <c r="E97" s="228"/>
      <c r="F97" s="229">
        <f>SUM(G98:G100)</f>
        <v>29729500</v>
      </c>
      <c r="G97" s="229"/>
      <c r="H97" s="228"/>
      <c r="I97" s="228"/>
      <c r="J97" s="229"/>
      <c r="K97" s="229"/>
      <c r="L97" s="228"/>
      <c r="M97" s="229"/>
      <c r="N97" s="262"/>
      <c r="O97" s="177"/>
    </row>
    <row r="98" spans="1:15">
      <c r="A98" s="230">
        <v>21200</v>
      </c>
      <c r="B98" s="231"/>
      <c r="C98" s="232"/>
      <c r="D98" s="89" t="str">
        <f>VLOOKUP(A98,'MATER AKUN'!$A$7:$B$71,2,FALSE)</f>
        <v>Pendapatan Diterima dimuka- jasa kirim</v>
      </c>
      <c r="E98" s="233"/>
      <c r="F98" s="234"/>
      <c r="G98" s="234">
        <v>200000</v>
      </c>
      <c r="H98" s="233"/>
      <c r="I98" s="233"/>
      <c r="J98" s="234"/>
      <c r="K98" s="234"/>
      <c r="L98" s="233"/>
      <c r="M98" s="234"/>
      <c r="N98" s="263"/>
      <c r="O98" s="177"/>
    </row>
    <row r="99" spans="1:15">
      <c r="A99" s="230">
        <v>41000</v>
      </c>
      <c r="B99" s="231"/>
      <c r="C99" s="232"/>
      <c r="D99" s="89" t="str">
        <f>VLOOKUP(A99,'MATER AKUN'!$A$7:$B$71,2,FALSE)</f>
        <v xml:space="preserve">Penjualan </v>
      </c>
      <c r="E99" s="233"/>
      <c r="F99" s="234"/>
      <c r="G99" s="234">
        <v>26845000</v>
      </c>
      <c r="H99" s="233"/>
      <c r="I99" s="233"/>
      <c r="J99" s="234"/>
      <c r="K99" s="234"/>
      <c r="L99" s="233"/>
      <c r="M99" s="234"/>
      <c r="N99" s="263"/>
      <c r="O99" s="177"/>
    </row>
    <row r="100" spans="1:15">
      <c r="A100" s="230">
        <v>21403</v>
      </c>
      <c r="B100" s="231"/>
      <c r="C100" s="232"/>
      <c r="D100" s="89" t="str">
        <f>VLOOKUP(A100,'MATER AKUN'!$A$7:$B$71,2,FALSE)</f>
        <v>PPN Keluaran</v>
      </c>
      <c r="E100" s="233"/>
      <c r="F100" s="234"/>
      <c r="G100" s="234">
        <v>2684500</v>
      </c>
      <c r="H100" s="233"/>
      <c r="I100" s="233"/>
      <c r="J100" s="234"/>
      <c r="K100" s="234"/>
      <c r="L100" s="233"/>
      <c r="M100" s="234"/>
      <c r="N100" s="263"/>
      <c r="O100" s="177"/>
    </row>
    <row r="101" spans="1:15">
      <c r="A101" s="230">
        <v>51000</v>
      </c>
      <c r="B101" s="231"/>
      <c r="C101" s="232"/>
      <c r="D101" s="89" t="str">
        <f>VLOOKUP(A101,'MATER AKUN'!$A$7:$B$71,2,FALSE)</f>
        <v>Harga pokok penjualan</v>
      </c>
      <c r="E101" s="233"/>
      <c r="F101" s="234">
        <f>G102+G103</f>
        <v>23375000</v>
      </c>
      <c r="G101" s="234"/>
      <c r="H101" s="233"/>
      <c r="I101" s="233"/>
      <c r="J101" s="234"/>
      <c r="K101" s="234"/>
      <c r="L101" s="233"/>
      <c r="M101" s="234"/>
      <c r="N101" s="263"/>
      <c r="O101" s="177"/>
    </row>
    <row r="102" spans="1:15">
      <c r="A102" s="230">
        <v>11500</v>
      </c>
      <c r="B102" s="231"/>
      <c r="C102" s="232"/>
      <c r="D102" s="89" t="str">
        <f>VLOOKUP(A102,'MATER AKUN'!$A$7:$B$71,2,FALSE)</f>
        <v>Persediaan barang dagang</v>
      </c>
      <c r="E102" s="233"/>
      <c r="F102" s="234"/>
      <c r="G102" s="234">
        <v>12000000</v>
      </c>
      <c r="H102" s="233" t="s">
        <v>22</v>
      </c>
      <c r="I102" s="233"/>
      <c r="J102" s="234"/>
      <c r="K102" s="234"/>
      <c r="L102" s="233">
        <v>10</v>
      </c>
      <c r="M102" s="234">
        <v>1200000</v>
      </c>
      <c r="N102" s="263">
        <f>L102*M102</f>
        <v>12000000</v>
      </c>
      <c r="O102" s="177"/>
    </row>
    <row r="103" spans="1:15">
      <c r="A103" s="220">
        <v>11500</v>
      </c>
      <c r="B103" s="221"/>
      <c r="C103" s="222"/>
      <c r="D103" s="98" t="str">
        <f>VLOOKUP(A103,'MATER AKUN'!$A$7:$B$71,2,FALSE)</f>
        <v>Persediaan barang dagang</v>
      </c>
      <c r="E103" s="223"/>
      <c r="F103" s="224"/>
      <c r="G103" s="224">
        <v>11375000</v>
      </c>
      <c r="H103" s="223" t="s">
        <v>26</v>
      </c>
      <c r="I103" s="223"/>
      <c r="J103" s="224"/>
      <c r="K103" s="224"/>
      <c r="L103" s="223">
        <v>35</v>
      </c>
      <c r="M103" s="224">
        <v>325000</v>
      </c>
      <c r="N103" s="261">
        <f>L103*M103</f>
        <v>11375000</v>
      </c>
      <c r="O103" s="177"/>
    </row>
    <row r="104" spans="1:15">
      <c r="A104" s="225">
        <v>11101</v>
      </c>
      <c r="B104" s="226">
        <v>38748</v>
      </c>
      <c r="C104" s="227" t="s">
        <v>164</v>
      </c>
      <c r="D104" s="208" t="str">
        <f>VLOOKUP(A104,'MATER AKUN'!$A$7:$B$71,2,FALSE)</f>
        <v xml:space="preserve">Kas ditangan </v>
      </c>
      <c r="E104" s="228"/>
      <c r="F104" s="229">
        <v>500000</v>
      </c>
      <c r="G104" s="229"/>
      <c r="H104" s="228"/>
      <c r="I104" s="228"/>
      <c r="J104" s="229"/>
      <c r="K104" s="229"/>
      <c r="L104" s="228"/>
      <c r="M104" s="229"/>
      <c r="N104" s="262"/>
      <c r="O104" s="177"/>
    </row>
    <row r="105" spans="1:15">
      <c r="A105" s="220">
        <v>11401</v>
      </c>
      <c r="B105" s="221"/>
      <c r="C105" s="222"/>
      <c r="D105" s="98" t="str">
        <f>VLOOKUP(A105,'MATER AKUN'!$A$7:$B$71,2,FALSE)</f>
        <v>Piutang Karyawan</v>
      </c>
      <c r="E105" s="223"/>
      <c r="F105" s="224"/>
      <c r="G105" s="224">
        <f>F104</f>
        <v>500000</v>
      </c>
      <c r="H105" s="223"/>
      <c r="I105" s="223"/>
      <c r="J105" s="224"/>
      <c r="K105" s="224"/>
      <c r="L105" s="223"/>
      <c r="M105" s="224"/>
      <c r="N105" s="261"/>
      <c r="O105" s="177"/>
    </row>
    <row r="106" spans="1:15">
      <c r="A106" s="225">
        <v>61001</v>
      </c>
      <c r="B106" s="226">
        <v>38748</v>
      </c>
      <c r="C106" s="227" t="s">
        <v>165</v>
      </c>
      <c r="D106" s="208" t="str">
        <f>VLOOKUP(A106,'MATER AKUN'!$A$7:$B$71,2,FALSE)</f>
        <v>Beban gaji karyawan</v>
      </c>
      <c r="E106" s="228"/>
      <c r="F106" s="229">
        <f>G107+G108</f>
        <v>14500000</v>
      </c>
      <c r="G106" s="229"/>
      <c r="H106" s="228"/>
      <c r="I106" s="228"/>
      <c r="J106" s="229"/>
      <c r="K106" s="229"/>
      <c r="L106" s="228"/>
      <c r="M106" s="229"/>
      <c r="N106" s="262"/>
      <c r="O106" s="177"/>
    </row>
    <row r="107" spans="1:15">
      <c r="A107" s="230">
        <v>21401</v>
      </c>
      <c r="B107" s="231"/>
      <c r="C107" s="232"/>
      <c r="D107" s="89" t="str">
        <f>VLOOKUP(A107,'MATER AKUN'!$A$7:$B$71,2,FALSE)</f>
        <v>utang PPh pasal 21</v>
      </c>
      <c r="E107" s="233"/>
      <c r="F107" s="234"/>
      <c r="G107" s="234">
        <v>725000</v>
      </c>
      <c r="H107" s="233"/>
      <c r="I107" s="233"/>
      <c r="J107" s="234"/>
      <c r="K107" s="234"/>
      <c r="L107" s="233"/>
      <c r="M107" s="234"/>
      <c r="N107" s="263"/>
      <c r="O107" s="177"/>
    </row>
    <row r="108" spans="1:15">
      <c r="A108" s="235">
        <v>11201</v>
      </c>
      <c r="B108" s="236"/>
      <c r="C108" s="237"/>
      <c r="D108" s="101" t="str">
        <f>VLOOKUP(A108,'MATER AKUN'!$A$7:$B$71,2,FALSE)</f>
        <v>Bank BCA</v>
      </c>
      <c r="E108" s="238"/>
      <c r="F108" s="239"/>
      <c r="G108" s="239">
        <v>13775000</v>
      </c>
      <c r="H108" s="238"/>
      <c r="I108" s="238"/>
      <c r="J108" s="239"/>
      <c r="K108" s="239"/>
      <c r="L108" s="238"/>
      <c r="M108" s="239"/>
      <c r="N108" s="264"/>
      <c r="O108" s="177"/>
    </row>
    <row r="109" spans="1:15">
      <c r="A109" s="240">
        <v>61006</v>
      </c>
      <c r="B109" s="241">
        <v>38748</v>
      </c>
      <c r="C109" s="242" t="s">
        <v>166</v>
      </c>
      <c r="D109" s="242" t="str">
        <f>VLOOKUP(A109,'MATER AKUN'!$A$7:$B$71,2,FALSE)</f>
        <v>Beban penyusutan peralatan kantor</v>
      </c>
      <c r="E109" s="242"/>
      <c r="F109" s="243">
        <v>400000</v>
      </c>
      <c r="G109" s="243"/>
      <c r="H109" s="242"/>
      <c r="I109" s="242"/>
      <c r="J109" s="243"/>
      <c r="K109" s="243"/>
      <c r="L109" s="242"/>
      <c r="M109" s="243"/>
      <c r="N109" s="265"/>
    </row>
    <row r="110" spans="1:15">
      <c r="A110" s="244">
        <v>12102</v>
      </c>
      <c r="B110" s="245"/>
      <c r="C110" s="232"/>
      <c r="D110" s="232" t="str">
        <f>VLOOKUP(A110,'MATER AKUN'!$A$7:$B$71,2,FALSE)</f>
        <v>Akm. Penyusutan Peralatan Kantor</v>
      </c>
      <c r="E110" s="232"/>
      <c r="F110" s="246"/>
      <c r="G110" s="246">
        <f>F109</f>
        <v>400000</v>
      </c>
      <c r="H110" s="232"/>
      <c r="I110" s="232"/>
      <c r="J110" s="246"/>
      <c r="K110" s="246"/>
      <c r="L110" s="232"/>
      <c r="M110" s="246"/>
      <c r="N110" s="266"/>
    </row>
    <row r="111" spans="1:15">
      <c r="A111" s="244">
        <v>61007</v>
      </c>
      <c r="B111" s="245"/>
      <c r="C111" s="232"/>
      <c r="D111" s="232" t="str">
        <f>VLOOKUP(A111,'MATER AKUN'!$A$7:$B$71,2,FALSE)</f>
        <v>Beban penyusutan kendaraan</v>
      </c>
      <c r="E111" s="232"/>
      <c r="F111" s="246">
        <v>500000</v>
      </c>
      <c r="G111" s="246"/>
      <c r="H111" s="232"/>
      <c r="I111" s="232"/>
      <c r="J111" s="246"/>
      <c r="K111" s="246"/>
      <c r="L111" s="232"/>
      <c r="M111" s="246"/>
      <c r="N111" s="266"/>
    </row>
    <row r="112" spans="1:15">
      <c r="A112" s="247">
        <v>12202</v>
      </c>
      <c r="B112" s="248"/>
      <c r="C112" s="237"/>
      <c r="D112" s="237" t="str">
        <f>VLOOKUP(A112,'MATER AKUN'!$A$7:$B$71,2,FALSE)</f>
        <v>Akm. Penyusutan kendaraan</v>
      </c>
      <c r="E112" s="237"/>
      <c r="F112" s="249"/>
      <c r="G112" s="249">
        <f>F111</f>
        <v>500000</v>
      </c>
      <c r="H112" s="237"/>
      <c r="I112" s="237"/>
      <c r="J112" s="249"/>
      <c r="K112" s="249"/>
      <c r="L112" s="237"/>
      <c r="M112" s="249"/>
      <c r="N112" s="267"/>
    </row>
    <row r="113" spans="1:14">
      <c r="A113" s="225">
        <v>91002</v>
      </c>
      <c r="B113" s="250">
        <v>38748</v>
      </c>
      <c r="C113" s="242" t="s">
        <v>167</v>
      </c>
      <c r="D113" s="242" t="str">
        <f>VLOOKUP(A113,'MATER AKUN'!$A$7:$B$71,2,FALSE)</f>
        <v>Beban Bunga</v>
      </c>
      <c r="E113" s="242"/>
      <c r="F113" s="243">
        <v>1500000</v>
      </c>
      <c r="G113" s="243"/>
      <c r="H113" s="242"/>
      <c r="I113" s="242"/>
      <c r="J113" s="243"/>
      <c r="K113" s="243"/>
      <c r="L113" s="242"/>
      <c r="M113" s="243"/>
      <c r="N113" s="265"/>
    </row>
    <row r="114" spans="1:14">
      <c r="A114" s="235">
        <v>21300</v>
      </c>
      <c r="B114" s="251"/>
      <c r="C114" s="237"/>
      <c r="D114" s="237" t="str">
        <f>VLOOKUP(A114,'MATER AKUN'!$A$7:$B$71,2,FALSE)</f>
        <v>hutang bunga</v>
      </c>
      <c r="E114" s="237"/>
      <c r="F114" s="249"/>
      <c r="G114" s="249">
        <f>F113</f>
        <v>1500000</v>
      </c>
      <c r="H114" s="237"/>
      <c r="I114" s="237"/>
      <c r="J114" s="249"/>
      <c r="K114" s="249"/>
      <c r="L114" s="237"/>
      <c r="M114" s="249"/>
      <c r="N114" s="267"/>
    </row>
    <row r="115" spans="1:14">
      <c r="A115" s="240">
        <v>61003</v>
      </c>
      <c r="B115" s="241">
        <v>38748</v>
      </c>
      <c r="C115" s="242" t="s">
        <v>168</v>
      </c>
      <c r="D115" s="242" t="str">
        <f>VLOOKUP(A115,'MATER AKUN'!$A$7:$B$71,2,FALSE)</f>
        <v>Beban piutang tak tertagih</v>
      </c>
      <c r="E115" s="242"/>
      <c r="F115" s="243">
        <v>2901750</v>
      </c>
      <c r="G115" s="243"/>
      <c r="H115" s="242"/>
      <c r="I115" s="242"/>
      <c r="J115" s="243"/>
      <c r="K115" s="243"/>
      <c r="L115" s="242"/>
      <c r="M115" s="243"/>
      <c r="N115" s="265"/>
    </row>
    <row r="116" spans="1:14">
      <c r="A116" s="252">
        <v>11302</v>
      </c>
      <c r="B116" s="248"/>
      <c r="C116" s="237"/>
      <c r="D116" s="237" t="str">
        <f>VLOOKUP(A116,'MATER AKUN'!$A$7:$B$71,2,FALSE)</f>
        <v>Cadangan piutang tak tertagih</v>
      </c>
      <c r="E116" s="237"/>
      <c r="F116" s="249"/>
      <c r="G116" s="249">
        <f>F115</f>
        <v>2901750</v>
      </c>
      <c r="H116" s="237"/>
      <c r="I116" s="237"/>
      <c r="J116" s="249"/>
      <c r="K116" s="249"/>
      <c r="L116" s="237"/>
      <c r="M116" s="249"/>
      <c r="N116" s="267"/>
    </row>
    <row r="117" spans="1:14">
      <c r="A117" s="240">
        <v>91001</v>
      </c>
      <c r="B117" s="241">
        <v>38748</v>
      </c>
      <c r="C117" s="242" t="s">
        <v>169</v>
      </c>
      <c r="D117" s="242" t="str">
        <f>VLOOKUP(A117,'MATER AKUN'!$A$7:$B$71,2,FALSE)</f>
        <v>Beban Adm. Bank</v>
      </c>
      <c r="E117" s="242"/>
      <c r="F117" s="243">
        <v>150000</v>
      </c>
      <c r="G117" s="243"/>
      <c r="H117" s="242"/>
      <c r="I117" s="242"/>
      <c r="J117" s="243"/>
      <c r="K117" s="243"/>
      <c r="L117" s="242"/>
      <c r="M117" s="243"/>
      <c r="N117" s="265"/>
    </row>
    <row r="118" spans="1:14">
      <c r="A118" s="244">
        <v>11101</v>
      </c>
      <c r="B118" s="245"/>
      <c r="C118" s="232"/>
      <c r="D118" s="232" t="str">
        <f>VLOOKUP(A118,'MATER AKUN'!$A$7:$B$71,2,FALSE)</f>
        <v xml:space="preserve">Kas ditangan </v>
      </c>
      <c r="E118" s="232"/>
      <c r="F118" s="246"/>
      <c r="G118" s="246">
        <f>F117</f>
        <v>150000</v>
      </c>
      <c r="H118" s="232"/>
      <c r="I118" s="232"/>
      <c r="J118" s="246"/>
      <c r="K118" s="246"/>
      <c r="L118" s="232"/>
      <c r="M118" s="246"/>
      <c r="N118" s="266"/>
    </row>
    <row r="119" spans="1:14">
      <c r="A119" s="244">
        <v>11101</v>
      </c>
      <c r="B119" s="245"/>
      <c r="C119" s="232"/>
      <c r="D119" s="232" t="str">
        <f>VLOOKUP(A119,'MATER AKUN'!$A$7:$B$71,2,FALSE)</f>
        <v xml:space="preserve">Kas ditangan </v>
      </c>
      <c r="E119" s="232"/>
      <c r="F119" s="246">
        <v>1350000</v>
      </c>
      <c r="G119" s="246"/>
      <c r="H119" s="232"/>
      <c r="I119" s="232"/>
      <c r="J119" s="246"/>
      <c r="K119" s="246"/>
      <c r="L119" s="232"/>
      <c r="M119" s="246"/>
      <c r="N119" s="266"/>
    </row>
    <row r="120" spans="1:14">
      <c r="A120" s="221">
        <v>81002</v>
      </c>
      <c r="B120" s="222"/>
      <c r="C120" s="222"/>
      <c r="D120" s="222" t="str">
        <f>VLOOKUP(A120,'MATER AKUN'!$A$7:$B$71,2,FALSE)</f>
        <v>Pendapatan jasa giro</v>
      </c>
      <c r="E120" s="223"/>
      <c r="F120" s="253"/>
      <c r="G120" s="253">
        <f>F119</f>
        <v>1350000</v>
      </c>
      <c r="H120" s="222"/>
      <c r="I120" s="222"/>
      <c r="J120" s="253"/>
      <c r="K120" s="253"/>
      <c r="L120" s="222"/>
      <c r="M120" s="253"/>
      <c r="N120" s="268"/>
    </row>
    <row r="121" spans="1:14">
      <c r="A121" s="254"/>
      <c r="B121" s="255"/>
      <c r="C121" s="255"/>
      <c r="D121" s="255"/>
      <c r="E121" s="256"/>
      <c r="F121" s="257"/>
      <c r="G121" s="257"/>
      <c r="H121" s="258"/>
      <c r="I121" s="258"/>
      <c r="J121" s="257"/>
      <c r="K121" s="257"/>
      <c r="L121" s="258"/>
      <c r="M121" s="257"/>
      <c r="N121" s="269"/>
    </row>
    <row r="122" spans="1:14" ht="18.75">
      <c r="A122" s="320" t="s">
        <v>130</v>
      </c>
      <c r="B122" s="321"/>
      <c r="C122" s="321"/>
      <c r="D122" s="321"/>
      <c r="E122" s="322"/>
      <c r="F122" s="259">
        <f>SUM(F9:F119)</f>
        <v>479866500</v>
      </c>
      <c r="G122" s="259">
        <f>SUM(G9:G119)</f>
        <v>478516500</v>
      </c>
      <c r="H122" s="222"/>
      <c r="I122" s="222"/>
      <c r="J122" s="253"/>
      <c r="K122" s="253"/>
      <c r="L122" s="222"/>
      <c r="M122" s="253"/>
      <c r="N122" s="268"/>
    </row>
    <row r="123" spans="1:14">
      <c r="A123" s="227"/>
      <c r="B123" s="227"/>
      <c r="C123" s="227"/>
      <c r="D123" s="208"/>
      <c r="E123" s="228"/>
      <c r="F123" s="260"/>
      <c r="G123" s="260"/>
      <c r="H123" s="227"/>
      <c r="I123" s="227"/>
      <c r="J123" s="260"/>
      <c r="K123" s="260"/>
      <c r="L123" s="227"/>
      <c r="M123" s="260"/>
      <c r="N123" s="260"/>
    </row>
    <row r="124" spans="1:14">
      <c r="A124" s="232"/>
      <c r="B124" s="232"/>
      <c r="C124" s="232"/>
      <c r="D124" s="89"/>
      <c r="E124" s="233"/>
      <c r="F124" s="246"/>
      <c r="G124" s="246"/>
      <c r="H124" s="232"/>
      <c r="I124" s="232"/>
      <c r="J124" s="246"/>
      <c r="K124" s="246"/>
      <c r="L124" s="232"/>
      <c r="M124" s="246"/>
      <c r="N124" s="246"/>
    </row>
    <row r="125" spans="1:14">
      <c r="A125" s="232"/>
      <c r="B125" s="232"/>
      <c r="C125" s="232"/>
      <c r="D125" s="89"/>
      <c r="E125" s="233"/>
      <c r="F125" s="246"/>
      <c r="G125" s="246"/>
      <c r="H125" s="232"/>
      <c r="I125" s="232"/>
      <c r="J125" s="246"/>
      <c r="K125" s="246"/>
      <c r="L125" s="232"/>
      <c r="M125" s="246"/>
      <c r="N125" s="246"/>
    </row>
    <row r="126" spans="1:14">
      <c r="A126" s="232"/>
      <c r="B126" s="232"/>
      <c r="C126" s="232"/>
      <c r="D126" s="89"/>
      <c r="E126" s="233"/>
      <c r="F126" s="246"/>
      <c r="G126" s="246"/>
      <c r="H126" s="232"/>
      <c r="I126" s="232"/>
      <c r="J126" s="246"/>
      <c r="K126" s="246"/>
      <c r="L126" s="232"/>
      <c r="M126" s="246"/>
      <c r="N126" s="246"/>
    </row>
    <row r="127" spans="1:14">
      <c r="A127" s="232"/>
      <c r="B127" s="232"/>
      <c r="C127" s="232"/>
      <c r="D127" s="89"/>
      <c r="E127" s="233"/>
      <c r="F127" s="246"/>
      <c r="G127" s="246"/>
      <c r="H127" s="232"/>
      <c r="I127" s="232"/>
      <c r="J127" s="246"/>
      <c r="K127" s="246"/>
      <c r="L127" s="232"/>
      <c r="M127" s="246"/>
      <c r="N127" s="246"/>
    </row>
    <row r="128" spans="1:14">
      <c r="A128" s="232"/>
      <c r="B128" s="232"/>
      <c r="C128" s="232"/>
      <c r="D128" s="89"/>
      <c r="E128" s="233"/>
      <c r="F128" s="246"/>
      <c r="G128" s="246"/>
      <c r="H128" s="232"/>
      <c r="I128" s="232"/>
      <c r="J128" s="246"/>
      <c r="K128" s="246"/>
      <c r="L128" s="232"/>
      <c r="M128" s="246"/>
      <c r="N128" s="246"/>
    </row>
    <row r="129" spans="1:14">
      <c r="A129" s="232"/>
      <c r="B129" s="232"/>
      <c r="C129" s="232"/>
      <c r="D129" s="89"/>
      <c r="E129" s="233"/>
      <c r="F129" s="246"/>
      <c r="G129" s="246"/>
      <c r="H129" s="232"/>
      <c r="I129" s="232"/>
      <c r="J129" s="246"/>
      <c r="K129" s="246"/>
      <c r="L129" s="232"/>
      <c r="M129" s="246"/>
      <c r="N129" s="246"/>
    </row>
    <row r="130" spans="1:14">
      <c r="A130" s="232"/>
      <c r="B130" s="232"/>
      <c r="C130" s="232"/>
      <c r="D130" s="89"/>
      <c r="E130" s="233"/>
      <c r="F130" s="246"/>
      <c r="G130" s="246"/>
      <c r="H130" s="232"/>
      <c r="I130" s="232"/>
      <c r="J130" s="246"/>
      <c r="K130" s="246"/>
      <c r="L130" s="232"/>
      <c r="M130" s="246"/>
      <c r="N130" s="246"/>
    </row>
    <row r="131" spans="1:14">
      <c r="A131" s="232"/>
      <c r="B131" s="232"/>
      <c r="C131" s="232"/>
      <c r="D131" s="89"/>
      <c r="E131" s="233"/>
      <c r="F131" s="246"/>
      <c r="G131" s="246"/>
      <c r="H131" s="232"/>
      <c r="I131" s="232"/>
      <c r="J131" s="246"/>
      <c r="K131" s="246"/>
      <c r="L131" s="232"/>
      <c r="M131" s="246"/>
      <c r="N131" s="246"/>
    </row>
    <row r="132" spans="1:14">
      <c r="A132" s="232"/>
      <c r="B132" s="232"/>
      <c r="C132" s="232"/>
      <c r="D132" s="89"/>
      <c r="E132" s="233"/>
      <c r="F132" s="246"/>
      <c r="G132" s="246"/>
      <c r="H132" s="232"/>
      <c r="I132" s="232"/>
      <c r="J132" s="246"/>
      <c r="K132" s="246"/>
      <c r="L132" s="232"/>
      <c r="M132" s="246"/>
      <c r="N132" s="246"/>
    </row>
    <row r="133" spans="1:14">
      <c r="A133" s="232"/>
      <c r="B133" s="232"/>
      <c r="C133" s="232"/>
      <c r="D133" s="89"/>
      <c r="E133" s="233"/>
      <c r="F133" s="246"/>
      <c r="G133" s="246"/>
      <c r="H133" s="232"/>
      <c r="I133" s="232"/>
      <c r="J133" s="246"/>
      <c r="K133" s="246"/>
      <c r="L133" s="232"/>
      <c r="M133" s="246"/>
      <c r="N133" s="246"/>
    </row>
    <row r="134" spans="1:14">
      <c r="A134" s="232"/>
      <c r="B134" s="232"/>
      <c r="C134" s="232"/>
      <c r="D134" s="89"/>
      <c r="E134" s="233"/>
      <c r="F134" s="246"/>
      <c r="G134" s="246"/>
      <c r="H134" s="232"/>
      <c r="I134" s="232"/>
      <c r="J134" s="246"/>
      <c r="K134" s="246"/>
      <c r="L134" s="232"/>
      <c r="M134" s="246"/>
      <c r="N134" s="246"/>
    </row>
  </sheetData>
  <mergeCells count="13">
    <mergeCell ref="A122:E122"/>
    <mergeCell ref="A7:A8"/>
    <mergeCell ref="B7:B8"/>
    <mergeCell ref="C7:C8"/>
    <mergeCell ref="D7:D8"/>
    <mergeCell ref="E7:E8"/>
    <mergeCell ref="A2:N2"/>
    <mergeCell ref="A3:N3"/>
    <mergeCell ref="A4:N4"/>
    <mergeCell ref="I7:K7"/>
    <mergeCell ref="L7:N7"/>
    <mergeCell ref="F7:F8"/>
    <mergeCell ref="G7:G8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'[1]MASTER DATA'!#REF!</xm:f>
          </x14:formula1>
          <xm:sqref>A11:A71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"/>
  <sheetViews>
    <sheetView topLeftCell="A20" zoomScale="88" zoomScaleNormal="88" workbookViewId="0">
      <selection activeCell="F15" sqref="F15"/>
    </sheetView>
  </sheetViews>
  <sheetFormatPr defaultColWidth="9.140625" defaultRowHeight="15"/>
  <cols>
    <col min="1" max="1" width="18" style="154" customWidth="1"/>
    <col min="2" max="2" width="19" style="154" customWidth="1"/>
    <col min="3" max="3" width="7.85546875" style="154" customWidth="1"/>
    <col min="4" max="4" width="19.5703125" style="154" customWidth="1"/>
    <col min="5" max="5" width="19" style="154" customWidth="1"/>
    <col min="6" max="6" width="22.140625" style="154" customWidth="1"/>
    <col min="7" max="7" width="22.42578125" style="154" customWidth="1"/>
    <col min="8" max="16384" width="9.140625" style="154"/>
  </cols>
  <sheetData>
    <row r="2" spans="1:7" ht="15.75">
      <c r="A2" s="327" t="s">
        <v>0</v>
      </c>
      <c r="B2" s="328"/>
      <c r="C2" s="328"/>
      <c r="D2" s="328"/>
      <c r="E2" s="328"/>
      <c r="F2" s="328"/>
      <c r="G2" s="329"/>
    </row>
    <row r="3" spans="1:7" ht="15.75">
      <c r="A3" s="330" t="s">
        <v>170</v>
      </c>
      <c r="B3" s="331"/>
      <c r="C3" s="331"/>
      <c r="D3" s="331"/>
      <c r="E3" s="331"/>
      <c r="F3" s="331"/>
      <c r="G3" s="332"/>
    </row>
    <row r="4" spans="1:7" ht="15.75">
      <c r="A4" s="333" t="s">
        <v>132</v>
      </c>
      <c r="B4" s="334"/>
      <c r="C4" s="334"/>
      <c r="D4" s="334"/>
      <c r="E4" s="334"/>
      <c r="F4" s="334"/>
      <c r="G4" s="335"/>
    </row>
    <row r="5" spans="1:7">
      <c r="A5" s="153"/>
      <c r="B5" s="153"/>
      <c r="C5" s="153"/>
      <c r="D5" s="153"/>
      <c r="E5" s="153"/>
      <c r="F5" s="153"/>
      <c r="G5" s="153"/>
    </row>
    <row r="6" spans="1:7">
      <c r="A6" s="153"/>
      <c r="B6" s="153"/>
      <c r="C6" s="153"/>
      <c r="D6" s="153"/>
      <c r="E6" s="153"/>
      <c r="F6" s="153"/>
      <c r="G6" s="153"/>
    </row>
    <row r="7" spans="1:7">
      <c r="A7" s="336" t="s">
        <v>171</v>
      </c>
      <c r="B7" s="337"/>
      <c r="C7" s="337" t="s">
        <v>68</v>
      </c>
      <c r="D7" s="337"/>
      <c r="E7" s="155"/>
      <c r="F7" s="155"/>
      <c r="G7" s="156"/>
    </row>
    <row r="8" spans="1:7">
      <c r="A8" s="338" t="s">
        <v>172</v>
      </c>
      <c r="B8" s="339"/>
      <c r="C8" s="339" t="str">
        <f>VLOOKUP(C7,'MATER AKUN'!$G$29:$I$33,2,FALSE)</f>
        <v>PT. GUNUNG AGUNG</v>
      </c>
      <c r="D8" s="339"/>
      <c r="E8" s="66"/>
      <c r="F8" s="66"/>
      <c r="G8" s="157"/>
    </row>
    <row r="9" spans="1:7">
      <c r="A9" s="300" t="s">
        <v>173</v>
      </c>
      <c r="B9" s="302" t="s">
        <v>174</v>
      </c>
      <c r="C9" s="302" t="s">
        <v>175</v>
      </c>
      <c r="D9" s="302" t="s">
        <v>176</v>
      </c>
      <c r="E9" s="302" t="s">
        <v>177</v>
      </c>
      <c r="F9" s="340" t="s">
        <v>178</v>
      </c>
      <c r="G9" s="341"/>
    </row>
    <row r="10" spans="1:7">
      <c r="A10" s="300"/>
      <c r="B10" s="302"/>
      <c r="C10" s="302"/>
      <c r="D10" s="302"/>
      <c r="E10" s="302"/>
      <c r="F10" s="84" t="s">
        <v>176</v>
      </c>
      <c r="G10" s="85" t="s">
        <v>177</v>
      </c>
    </row>
    <row r="11" spans="1:7">
      <c r="A11" s="158"/>
      <c r="B11" s="159" t="s">
        <v>179</v>
      </c>
      <c r="C11" s="159"/>
      <c r="D11" s="160"/>
      <c r="E11" s="160"/>
      <c r="F11" s="160">
        <f>VLOOKUP(C7,'MATER AKUN'!$G$29:$I$33,3,FALSE)</f>
        <v>10000000</v>
      </c>
      <c r="G11" s="161"/>
    </row>
    <row r="12" spans="1:7">
      <c r="A12" s="158"/>
      <c r="B12" s="159" t="s">
        <v>180</v>
      </c>
      <c r="C12" s="159"/>
      <c r="D12" s="160">
        <f ca="1">SUMIF('JURNAL UMUM'!$E$11:$G$108,C7,'JURNAL UMUM'!$F$11:$F$108)</f>
        <v>30535000</v>
      </c>
      <c r="E12" s="160">
        <f ca="1">SUMIF('JURNAL UMUM'!$E$11:$G$108,C7,'JURNAL UMUM'!$G$11:$G$108)</f>
        <v>10000000</v>
      </c>
      <c r="F12" s="160">
        <f ca="1">F11+D12-E12</f>
        <v>30535000</v>
      </c>
      <c r="G12" s="161"/>
    </row>
    <row r="13" spans="1:7">
      <c r="A13" s="162"/>
      <c r="B13" s="163"/>
      <c r="C13" s="163"/>
      <c r="D13" s="164"/>
      <c r="E13" s="164"/>
      <c r="F13" s="164"/>
      <c r="G13" s="165"/>
    </row>
    <row r="16" spans="1:7">
      <c r="A16" s="336" t="s">
        <v>171</v>
      </c>
      <c r="B16" s="337"/>
      <c r="C16" s="337" t="s">
        <v>71</v>
      </c>
      <c r="D16" s="337"/>
      <c r="E16" s="155"/>
      <c r="F16" s="155"/>
      <c r="G16" s="156"/>
    </row>
    <row r="17" spans="1:7">
      <c r="A17" s="338" t="s">
        <v>172</v>
      </c>
      <c r="B17" s="339"/>
      <c r="C17" s="339" t="str">
        <f>VLOOKUP(C16,'MATER AKUN'!$G$29:$I$33,2,FALSE)</f>
        <v>TOKO BUKU UTAMA</v>
      </c>
      <c r="D17" s="339"/>
      <c r="E17" s="66"/>
      <c r="F17" s="66"/>
      <c r="G17" s="157"/>
    </row>
    <row r="18" spans="1:7">
      <c r="A18" s="300" t="s">
        <v>173</v>
      </c>
      <c r="B18" s="302" t="s">
        <v>174</v>
      </c>
      <c r="C18" s="302" t="s">
        <v>175</v>
      </c>
      <c r="D18" s="302" t="s">
        <v>176</v>
      </c>
      <c r="E18" s="302" t="s">
        <v>177</v>
      </c>
      <c r="F18" s="340" t="s">
        <v>178</v>
      </c>
      <c r="G18" s="341"/>
    </row>
    <row r="19" spans="1:7">
      <c r="A19" s="300"/>
      <c r="B19" s="302"/>
      <c r="C19" s="302"/>
      <c r="D19" s="302"/>
      <c r="E19" s="302"/>
      <c r="F19" s="84" t="s">
        <v>176</v>
      </c>
      <c r="G19" s="85" t="s">
        <v>177</v>
      </c>
    </row>
    <row r="20" spans="1:7">
      <c r="A20" s="158"/>
      <c r="B20" s="159" t="s">
        <v>179</v>
      </c>
      <c r="C20" s="159"/>
      <c r="D20" s="160"/>
      <c r="E20" s="160"/>
      <c r="F20" s="160">
        <f>VLOOKUP(C16,'MATER AKUN'!$G$29:$I$33,3,FALSE)</f>
        <v>15000000</v>
      </c>
      <c r="G20" s="161"/>
    </row>
    <row r="21" spans="1:7">
      <c r="A21" s="158"/>
      <c r="B21" s="159" t="s">
        <v>180</v>
      </c>
      <c r="C21" s="159"/>
      <c r="D21" s="160">
        <f ca="1">SUMIF('JURNAL UMUM'!$E$11:$G$108,C16,'JURNAL UMUM'!$F$11:$F$108)</f>
        <v>29425000</v>
      </c>
      <c r="E21" s="160">
        <f ca="1">SUMIF('JURNAL UMUM'!$E$11:$G$108,C16,'JURNAL UMUM'!$G$11:$G$108)</f>
        <v>16925000</v>
      </c>
      <c r="F21" s="160">
        <f ca="1">F20+D21-E21</f>
        <v>27500000</v>
      </c>
      <c r="G21" s="161"/>
    </row>
    <row r="22" spans="1:7">
      <c r="A22" s="162"/>
      <c r="B22" s="163"/>
      <c r="C22" s="163"/>
      <c r="D22" s="164"/>
      <c r="E22" s="164"/>
      <c r="F22" s="164"/>
      <c r="G22" s="165"/>
    </row>
    <row r="25" spans="1:7">
      <c r="A25" s="336" t="s">
        <v>171</v>
      </c>
      <c r="B25" s="337"/>
      <c r="C25" s="337" t="s">
        <v>74</v>
      </c>
      <c r="D25" s="337"/>
      <c r="E25" s="155"/>
      <c r="F25" s="155"/>
      <c r="G25" s="156"/>
    </row>
    <row r="26" spans="1:7">
      <c r="A26" s="338" t="s">
        <v>172</v>
      </c>
      <c r="B26" s="339"/>
      <c r="C26" s="339" t="str">
        <f>VLOOKUP(C25,'MATER AKUN'!$G$29:$I$33,2,FALSE)</f>
        <v>CV MEBEL ABADI</v>
      </c>
      <c r="D26" s="339"/>
      <c r="E26" s="66"/>
      <c r="F26" s="66"/>
      <c r="G26" s="157"/>
    </row>
    <row r="27" spans="1:7">
      <c r="A27" s="300" t="s">
        <v>173</v>
      </c>
      <c r="B27" s="302" t="s">
        <v>174</v>
      </c>
      <c r="C27" s="302" t="s">
        <v>175</v>
      </c>
      <c r="D27" s="302" t="s">
        <v>176</v>
      </c>
      <c r="E27" s="302" t="s">
        <v>177</v>
      </c>
      <c r="F27" s="340" t="s">
        <v>178</v>
      </c>
      <c r="G27" s="341"/>
    </row>
    <row r="28" spans="1:7">
      <c r="A28" s="300"/>
      <c r="B28" s="302"/>
      <c r="C28" s="302"/>
      <c r="D28" s="302"/>
      <c r="E28" s="302"/>
      <c r="F28" s="84" t="s">
        <v>176</v>
      </c>
      <c r="G28" s="85" t="s">
        <v>177</v>
      </c>
    </row>
    <row r="29" spans="1:7">
      <c r="A29" s="158"/>
      <c r="B29" s="159" t="s">
        <v>179</v>
      </c>
      <c r="C29" s="159"/>
      <c r="D29" s="160"/>
      <c r="E29" s="160"/>
      <c r="F29" s="160">
        <f>VLOOKUP(C25,'MATER AKUN'!$G$29:$I$33,3,FALSE)</f>
        <v>7500000</v>
      </c>
      <c r="G29" s="161"/>
    </row>
    <row r="30" spans="1:7">
      <c r="A30" s="158"/>
      <c r="B30" s="159" t="s">
        <v>180</v>
      </c>
      <c r="C30" s="159"/>
      <c r="D30" s="160">
        <f ca="1">SUMIF('JURNAL UMUM'!E$11:G$108,C25,'JURNAL UMUM'!F$11:F$108)</f>
        <v>0</v>
      </c>
      <c r="E30" s="160">
        <f ca="1">SUMIF('JURNAL UMUM'!$E$11:$G$108,C25,'JURNAL UMUM'!$G$11:$G$108)</f>
        <v>7500000</v>
      </c>
      <c r="F30" s="160">
        <f ca="1">F29+D30-E30</f>
        <v>0</v>
      </c>
      <c r="G30" s="161"/>
    </row>
    <row r="31" spans="1:7">
      <c r="A31" s="162"/>
      <c r="B31" s="163"/>
      <c r="C31" s="163"/>
      <c r="D31" s="164"/>
      <c r="E31" s="164"/>
      <c r="F31" s="164"/>
      <c r="G31" s="165"/>
    </row>
    <row r="34" spans="1:7">
      <c r="A34" s="336" t="s">
        <v>171</v>
      </c>
      <c r="B34" s="337"/>
      <c r="C34" s="337" t="s">
        <v>77</v>
      </c>
      <c r="D34" s="337"/>
      <c r="E34" s="155"/>
      <c r="F34" s="155"/>
      <c r="G34" s="156"/>
    </row>
    <row r="35" spans="1:7">
      <c r="A35" s="338" t="s">
        <v>172</v>
      </c>
      <c r="B35" s="339"/>
      <c r="C35" s="339" t="str">
        <f>VLOOKUP(C34,'MATER AKUN'!$G$29:$I$33,2,FALSE)</f>
        <v>CV SEMBILAN SEMBILAN</v>
      </c>
      <c r="D35" s="339"/>
      <c r="E35" s="66"/>
      <c r="F35" s="66"/>
      <c r="G35" s="157"/>
    </row>
    <row r="36" spans="1:7">
      <c r="A36" s="300" t="s">
        <v>173</v>
      </c>
      <c r="B36" s="302" t="s">
        <v>174</v>
      </c>
      <c r="C36" s="302" t="s">
        <v>175</v>
      </c>
      <c r="D36" s="302" t="s">
        <v>176</v>
      </c>
      <c r="E36" s="302" t="s">
        <v>177</v>
      </c>
      <c r="F36" s="340" t="s">
        <v>178</v>
      </c>
      <c r="G36" s="341"/>
    </row>
    <row r="37" spans="1:7">
      <c r="A37" s="300"/>
      <c r="B37" s="302"/>
      <c r="C37" s="302"/>
      <c r="D37" s="302"/>
      <c r="E37" s="302"/>
      <c r="F37" s="84" t="s">
        <v>176</v>
      </c>
      <c r="G37" s="85" t="s">
        <v>177</v>
      </c>
    </row>
    <row r="38" spans="1:7">
      <c r="A38" s="158"/>
      <c r="B38" s="159" t="s">
        <v>179</v>
      </c>
      <c r="C38" s="159"/>
      <c r="D38" s="160"/>
      <c r="E38" s="160"/>
      <c r="F38" s="160">
        <f>VLOOKUP(C34,'MATER AKUN'!$G$29:$I$33,3,FALSE)</f>
        <v>15000000</v>
      </c>
      <c r="G38" s="161"/>
    </row>
    <row r="39" spans="1:7">
      <c r="A39" s="158"/>
      <c r="B39" s="159" t="s">
        <v>180</v>
      </c>
      <c r="C39" s="159"/>
      <c r="D39" s="160">
        <f ca="1">SUMIF('JURNAL UMUM'!E$11:G$108,C34,'JURNAL UMUM'!F$11:F$108)</f>
        <v>0</v>
      </c>
      <c r="E39" s="160">
        <f ca="1">SUMIF('JURNAL UMUM'!$E$11:$G$108,C34,'JURNAL UMUM'!$G$11:$G$108)</f>
        <v>15000000</v>
      </c>
      <c r="F39" s="160">
        <f ca="1">F38+D39-E39</f>
        <v>0</v>
      </c>
      <c r="G39" s="161"/>
    </row>
    <row r="40" spans="1:7">
      <c r="A40" s="162"/>
      <c r="B40" s="163"/>
      <c r="C40" s="163"/>
      <c r="D40" s="164"/>
      <c r="E40" s="164"/>
      <c r="F40" s="164"/>
      <c r="G40" s="165"/>
    </row>
    <row r="43" spans="1:7">
      <c r="A43" s="76" t="s">
        <v>171</v>
      </c>
      <c r="B43" s="166"/>
      <c r="C43" s="342" t="s">
        <v>80</v>
      </c>
      <c r="D43" s="342"/>
      <c r="E43" s="167"/>
      <c r="F43" s="167"/>
      <c r="G43" s="168"/>
    </row>
    <row r="44" spans="1:7">
      <c r="A44" s="80" t="s">
        <v>172</v>
      </c>
      <c r="B44" s="169"/>
      <c r="C44" s="343" t="str">
        <f>VLOOKUP(C43,'MATER AKUN'!$G$29:$I$33,2,FALSE)</f>
        <v>PENJUALAN COUNTER</v>
      </c>
      <c r="D44" s="343"/>
      <c r="E44" s="170"/>
      <c r="F44" s="170"/>
      <c r="G44" s="171"/>
    </row>
    <row r="45" spans="1:7">
      <c r="A45" s="300" t="s">
        <v>173</v>
      </c>
      <c r="B45" s="302" t="s">
        <v>174</v>
      </c>
      <c r="C45" s="302" t="s">
        <v>175</v>
      </c>
      <c r="D45" s="302" t="s">
        <v>176</v>
      </c>
      <c r="E45" s="302" t="s">
        <v>177</v>
      </c>
      <c r="F45" s="302" t="s">
        <v>178</v>
      </c>
      <c r="G45" s="344"/>
    </row>
    <row r="46" spans="1:7">
      <c r="A46" s="300"/>
      <c r="B46" s="302"/>
      <c r="C46" s="302"/>
      <c r="D46" s="302"/>
      <c r="E46" s="302"/>
      <c r="F46" s="83" t="s">
        <v>176</v>
      </c>
      <c r="G46" s="151" t="s">
        <v>177</v>
      </c>
    </row>
    <row r="47" spans="1:7">
      <c r="A47" s="172"/>
      <c r="B47" s="173" t="s">
        <v>179</v>
      </c>
      <c r="C47" s="173"/>
      <c r="D47" s="174"/>
      <c r="E47" s="174"/>
      <c r="F47" s="174">
        <f>VLOOKUP(C43,'MATER AKUN'!$G$29:$I$33,3,FALSE)</f>
        <v>0</v>
      </c>
      <c r="G47" s="175"/>
    </row>
    <row r="48" spans="1:7">
      <c r="A48" s="172"/>
      <c r="B48" s="173" t="s">
        <v>180</v>
      </c>
      <c r="C48" s="173"/>
      <c r="D48" s="174">
        <f ca="1">SUMIF('JURNAL UMUM'!E$11:G$108,C43,'JURNAL UMUM'!F$11:F$108)</f>
        <v>0</v>
      </c>
      <c r="E48" s="174">
        <f ca="1">SUMIF('JURNAL UMUM'!$E$11:$G$108,C43,'JURNAL UMUM'!$G$11:$G$108)</f>
        <v>0</v>
      </c>
      <c r="F48" s="174">
        <f ca="1">F47+D48-E48</f>
        <v>0</v>
      </c>
      <c r="G48" s="175"/>
    </row>
    <row r="49" spans="1:7">
      <c r="A49" s="162"/>
      <c r="B49" s="163"/>
      <c r="C49" s="163"/>
      <c r="D49" s="164"/>
      <c r="E49" s="164"/>
      <c r="F49" s="164"/>
      <c r="G49" s="165"/>
    </row>
  </sheetData>
  <mergeCells count="51">
    <mergeCell ref="D45:D46"/>
    <mergeCell ref="E9:E10"/>
    <mergeCell ref="E18:E19"/>
    <mergeCell ref="E27:E28"/>
    <mergeCell ref="E36:E37"/>
    <mergeCell ref="E45:E46"/>
    <mergeCell ref="F45:G45"/>
    <mergeCell ref="A9:A10"/>
    <mergeCell ref="A18:A19"/>
    <mergeCell ref="A27:A28"/>
    <mergeCell ref="A36:A37"/>
    <mergeCell ref="A45:A46"/>
    <mergeCell ref="B9:B10"/>
    <mergeCell ref="B18:B19"/>
    <mergeCell ref="B27:B28"/>
    <mergeCell ref="B36:B37"/>
    <mergeCell ref="B45:B46"/>
    <mergeCell ref="C9:C10"/>
    <mergeCell ref="C18:C19"/>
    <mergeCell ref="C27:C28"/>
    <mergeCell ref="C36:C37"/>
    <mergeCell ref="C45:C46"/>
    <mergeCell ref="A35:B35"/>
    <mergeCell ref="C35:D35"/>
    <mergeCell ref="F36:G36"/>
    <mergeCell ref="C43:D43"/>
    <mergeCell ref="C44:D44"/>
    <mergeCell ref="D36:D37"/>
    <mergeCell ref="A26:B26"/>
    <mergeCell ref="C26:D26"/>
    <mergeCell ref="F27:G27"/>
    <mergeCell ref="A34:B34"/>
    <mergeCell ref="C34:D34"/>
    <mergeCell ref="D27:D28"/>
    <mergeCell ref="A17:B17"/>
    <mergeCell ref="C17:D17"/>
    <mergeCell ref="F18:G18"/>
    <mergeCell ref="A25:B25"/>
    <mergeCell ref="C25:D25"/>
    <mergeCell ref="D18:D19"/>
    <mergeCell ref="A8:B8"/>
    <mergeCell ref="C8:D8"/>
    <mergeCell ref="F9:G9"/>
    <mergeCell ref="A16:B16"/>
    <mergeCell ref="C16:D16"/>
    <mergeCell ref="D9:D10"/>
    <mergeCell ref="A2:G2"/>
    <mergeCell ref="A3:G3"/>
    <mergeCell ref="A4:G4"/>
    <mergeCell ref="A7:B7"/>
    <mergeCell ref="C7:D7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opLeftCell="A13" workbookViewId="0">
      <selection activeCell="E21" sqref="E21"/>
    </sheetView>
  </sheetViews>
  <sheetFormatPr defaultColWidth="9.140625" defaultRowHeight="15"/>
  <cols>
    <col min="2" max="2" width="18.7109375" customWidth="1"/>
    <col min="4" max="4" width="19" customWidth="1"/>
    <col min="5" max="5" width="17.42578125" customWidth="1"/>
    <col min="6" max="6" width="15.28515625" customWidth="1"/>
    <col min="7" max="7" width="16.42578125" customWidth="1"/>
  </cols>
  <sheetData>
    <row r="2" spans="1:7">
      <c r="A2" s="345" t="s">
        <v>0</v>
      </c>
      <c r="B2" s="346"/>
      <c r="C2" s="346"/>
      <c r="D2" s="346"/>
      <c r="E2" s="346"/>
      <c r="F2" s="346"/>
      <c r="G2" s="347"/>
    </row>
    <row r="3" spans="1:7">
      <c r="A3" s="348" t="s">
        <v>181</v>
      </c>
      <c r="B3" s="349"/>
      <c r="C3" s="349"/>
      <c r="D3" s="349"/>
      <c r="E3" s="349"/>
      <c r="F3" s="349"/>
      <c r="G3" s="350"/>
    </row>
    <row r="4" spans="1:7">
      <c r="A4" s="351" t="s">
        <v>132</v>
      </c>
      <c r="B4" s="352"/>
      <c r="C4" s="352"/>
      <c r="D4" s="352"/>
      <c r="E4" s="352"/>
      <c r="F4" s="352"/>
      <c r="G4" s="353"/>
    </row>
    <row r="5" spans="1:7">
      <c r="A5" s="153"/>
      <c r="B5" s="153"/>
      <c r="C5" s="153"/>
      <c r="D5" s="153"/>
      <c r="E5" s="153"/>
      <c r="F5" s="153"/>
      <c r="G5" s="153"/>
    </row>
    <row r="6" spans="1:7">
      <c r="A6" s="136"/>
      <c r="B6" s="136"/>
      <c r="C6" s="136"/>
      <c r="D6" s="136"/>
      <c r="E6" s="136"/>
      <c r="F6" s="136"/>
      <c r="G6" s="136"/>
    </row>
    <row r="7" spans="1:7">
      <c r="A7" s="336" t="s">
        <v>182</v>
      </c>
      <c r="B7" s="337"/>
      <c r="C7" s="337" t="s">
        <v>95</v>
      </c>
      <c r="D7" s="337"/>
      <c r="E7" s="137"/>
      <c r="F7" s="137"/>
      <c r="G7" s="147"/>
    </row>
    <row r="8" spans="1:7">
      <c r="A8" s="338" t="s">
        <v>183</v>
      </c>
      <c r="B8" s="339"/>
      <c r="C8" s="339" t="str">
        <f>VLOOKUP(C7,'MATER AKUN'!$G$42:$I$44,2,FALSE)</f>
        <v>CV USAHA MAJU</v>
      </c>
      <c r="D8" s="339"/>
      <c r="E8" s="136"/>
      <c r="F8" s="136"/>
      <c r="G8" s="148"/>
    </row>
    <row r="9" spans="1:7">
      <c r="A9" s="300" t="s">
        <v>173</v>
      </c>
      <c r="B9" s="302" t="s">
        <v>174</v>
      </c>
      <c r="C9" s="302" t="s">
        <v>175</v>
      </c>
      <c r="D9" s="302" t="s">
        <v>176</v>
      </c>
      <c r="E9" s="302" t="s">
        <v>177</v>
      </c>
      <c r="F9" s="340" t="s">
        <v>178</v>
      </c>
      <c r="G9" s="341"/>
    </row>
    <row r="10" spans="1:7">
      <c r="A10" s="300"/>
      <c r="B10" s="302"/>
      <c r="C10" s="302"/>
      <c r="D10" s="302"/>
      <c r="E10" s="302"/>
      <c r="F10" s="84" t="s">
        <v>176</v>
      </c>
      <c r="G10" s="85" t="s">
        <v>177</v>
      </c>
    </row>
    <row r="11" spans="1:7">
      <c r="A11" s="123"/>
      <c r="B11" s="89" t="s">
        <v>179</v>
      </c>
      <c r="C11" s="89"/>
      <c r="D11" s="139"/>
      <c r="E11" s="139"/>
      <c r="F11" s="139"/>
      <c r="G11" s="149">
        <f>VLOOKUP(C7,'MATER AKUN'!$G$42:$I$44,3,FALSE)</f>
        <v>24000000</v>
      </c>
    </row>
    <row r="12" spans="1:7">
      <c r="A12" s="123"/>
      <c r="B12" s="89" t="s">
        <v>180</v>
      </c>
      <c r="C12" s="89"/>
      <c r="D12" s="139">
        <f ca="1">SUMIF('JURNAL UMUM'!$E$11:$G$108,C7,'JURNAL UMUM'!$F$11:$F$108)</f>
        <v>24357500</v>
      </c>
      <c r="E12" s="139">
        <f ca="1">SUMIF('JURNAL UMUM'!$E$9:$G$108,C7,'JURNAL UMUM'!$G$9:$G$108)</f>
        <v>17925000</v>
      </c>
      <c r="F12" s="139"/>
      <c r="G12" s="149">
        <f ca="1">G11-D12+E12</f>
        <v>17567500</v>
      </c>
    </row>
    <row r="13" spans="1:7">
      <c r="A13" s="102"/>
      <c r="B13" s="98"/>
      <c r="C13" s="98"/>
      <c r="D13" s="146"/>
      <c r="E13" s="146"/>
      <c r="F13" s="146"/>
      <c r="G13" s="152"/>
    </row>
    <row r="15" spans="1:7">
      <c r="A15" s="22"/>
      <c r="B15" s="22"/>
      <c r="C15" s="22"/>
      <c r="D15" s="22"/>
      <c r="E15" s="22"/>
      <c r="F15" s="22"/>
      <c r="G15" s="22"/>
    </row>
    <row r="16" spans="1:7">
      <c r="A16" s="336" t="s">
        <v>182</v>
      </c>
      <c r="B16" s="337"/>
      <c r="C16" s="337" t="s">
        <v>98</v>
      </c>
      <c r="D16" s="337"/>
      <c r="E16" s="78"/>
      <c r="F16" s="78"/>
      <c r="G16" s="79"/>
    </row>
    <row r="17" spans="1:7">
      <c r="A17" s="338" t="s">
        <v>183</v>
      </c>
      <c r="B17" s="339"/>
      <c r="C17" s="339" t="str">
        <f>VLOOKUP(C16,'MATER AKUN'!$G$42:$I$44,2,FALSE)</f>
        <v>PT KARYA BERSAMA</v>
      </c>
      <c r="D17" s="339"/>
      <c r="E17" s="28"/>
      <c r="F17" s="28"/>
      <c r="G17" s="81"/>
    </row>
    <row r="18" spans="1:7">
      <c r="A18" s="300" t="s">
        <v>173</v>
      </c>
      <c r="B18" s="302" t="s">
        <v>174</v>
      </c>
      <c r="C18" s="302" t="s">
        <v>175</v>
      </c>
      <c r="D18" s="302" t="s">
        <v>176</v>
      </c>
      <c r="E18" s="302" t="s">
        <v>177</v>
      </c>
      <c r="F18" s="340" t="s">
        <v>178</v>
      </c>
      <c r="G18" s="341"/>
    </row>
    <row r="19" spans="1:7">
      <c r="A19" s="300"/>
      <c r="B19" s="302"/>
      <c r="C19" s="302"/>
      <c r="D19" s="302"/>
      <c r="E19" s="302"/>
      <c r="F19" s="84" t="s">
        <v>176</v>
      </c>
      <c r="G19" s="85" t="s">
        <v>177</v>
      </c>
    </row>
    <row r="20" spans="1:7">
      <c r="A20" s="123"/>
      <c r="B20" s="89" t="s">
        <v>179</v>
      </c>
      <c r="C20" s="89"/>
      <c r="D20" s="139"/>
      <c r="E20" s="139"/>
      <c r="F20" s="139"/>
      <c r="G20" s="149">
        <f>VLOOKUP(C16,'MATER AKUN'!$G$42:$I$44,3,FALSE)</f>
        <v>16000000</v>
      </c>
    </row>
    <row r="21" spans="1:7">
      <c r="A21" s="123"/>
      <c r="B21" s="89" t="s">
        <v>180</v>
      </c>
      <c r="C21" s="89"/>
      <c r="D21" s="139">
        <f ca="1">SUMIF('JURNAL UMUM'!$E$11:$G$108,C16,'JURNAL UMUM'!$F$11:$F$108)</f>
        <v>0</v>
      </c>
      <c r="E21" s="139">
        <f ca="1">SUMIF('JURNAL UMUM'!$E$9:$G$108,C16,'JURNAL UMUM'!$G$9:$G$108)</f>
        <v>0</v>
      </c>
      <c r="F21" s="139"/>
      <c r="G21" s="149">
        <f ca="1">G20-D21+E21</f>
        <v>16000000</v>
      </c>
    </row>
    <row r="22" spans="1:7">
      <c r="A22" s="102"/>
      <c r="B22" s="98"/>
      <c r="C22" s="98"/>
      <c r="D22" s="146"/>
      <c r="E22" s="146"/>
      <c r="F22" s="146"/>
      <c r="G22" s="152"/>
    </row>
    <row r="23" spans="1:7">
      <c r="A23" s="22"/>
      <c r="B23" s="22"/>
      <c r="C23" s="22"/>
      <c r="D23" s="22"/>
      <c r="E23" s="22"/>
      <c r="F23" s="22"/>
      <c r="G23" s="22"/>
    </row>
    <row r="24" spans="1:7">
      <c r="A24" s="22"/>
      <c r="B24" s="22"/>
      <c r="C24" s="22"/>
      <c r="D24" s="22"/>
      <c r="E24" s="22"/>
      <c r="F24" s="22"/>
      <c r="G24" s="22"/>
    </row>
    <row r="25" spans="1:7">
      <c r="A25" s="336" t="s">
        <v>182</v>
      </c>
      <c r="B25" s="337"/>
      <c r="C25" s="337" t="s">
        <v>101</v>
      </c>
      <c r="D25" s="337"/>
      <c r="E25" s="78"/>
      <c r="F25" s="78"/>
      <c r="G25" s="79"/>
    </row>
    <row r="26" spans="1:7">
      <c r="A26" s="338" t="s">
        <v>183</v>
      </c>
      <c r="B26" s="339"/>
      <c r="C26" s="339" t="str">
        <f>VLOOKUP(C25,'MATER AKUN'!$G$42:$I$44,2,FALSE)</f>
        <v>UD BERSAUDARA</v>
      </c>
      <c r="D26" s="339"/>
      <c r="E26" s="28"/>
      <c r="F26" s="28"/>
      <c r="G26" s="81"/>
    </row>
    <row r="27" spans="1:7">
      <c r="A27" s="300" t="s">
        <v>173</v>
      </c>
      <c r="B27" s="302" t="s">
        <v>174</v>
      </c>
      <c r="C27" s="302" t="s">
        <v>175</v>
      </c>
      <c r="D27" s="302" t="s">
        <v>176</v>
      </c>
      <c r="E27" s="302" t="s">
        <v>177</v>
      </c>
      <c r="F27" s="340" t="s">
        <v>178</v>
      </c>
      <c r="G27" s="341"/>
    </row>
    <row r="28" spans="1:7">
      <c r="A28" s="300"/>
      <c r="B28" s="302"/>
      <c r="C28" s="302"/>
      <c r="D28" s="302"/>
      <c r="E28" s="302"/>
      <c r="F28" s="84" t="s">
        <v>176</v>
      </c>
      <c r="G28" s="85" t="s">
        <v>177</v>
      </c>
    </row>
    <row r="29" spans="1:7">
      <c r="A29" s="123"/>
      <c r="B29" s="89" t="s">
        <v>179</v>
      </c>
      <c r="C29" s="89"/>
      <c r="D29" s="139"/>
      <c r="E29" s="139"/>
      <c r="F29" s="139"/>
      <c r="G29" s="149">
        <f>VLOOKUP(C25,'MATER AKUN'!$G$42:$I$44,3,FALSE)</f>
        <v>35000000</v>
      </c>
    </row>
    <row r="30" spans="1:7">
      <c r="A30" s="123"/>
      <c r="B30" s="89" t="s">
        <v>180</v>
      </c>
      <c r="C30" s="89"/>
      <c r="D30" s="139">
        <f ca="1">SUMIF('JURNAL UMUM'!$E$11:$G$108,C25,'JURNAL UMUM'!$F$11:$F$108)</f>
        <v>22000000</v>
      </c>
      <c r="E30" s="139">
        <f ca="1">SUMIF('JURNAL UMUM'!$E$9:$G$108,C25,'JURNAL UMUM'!$G$9:$G$108)</f>
        <v>0</v>
      </c>
      <c r="F30" s="139"/>
      <c r="G30" s="149">
        <f ca="1">G29-D30+E30</f>
        <v>13000000</v>
      </c>
    </row>
    <row r="31" spans="1:7">
      <c r="A31" s="102"/>
      <c r="B31" s="98"/>
      <c r="C31" s="98"/>
      <c r="D31" s="146"/>
      <c r="E31" s="146"/>
      <c r="F31" s="146"/>
      <c r="G31" s="152"/>
    </row>
    <row r="32" spans="1:7">
      <c r="A32" s="22"/>
      <c r="B32" s="22"/>
      <c r="C32" s="22"/>
      <c r="D32" s="22"/>
      <c r="E32" s="22"/>
      <c r="F32" s="22"/>
      <c r="G32" s="22"/>
    </row>
    <row r="33" spans="1:7">
      <c r="A33" s="22"/>
      <c r="B33" s="22"/>
      <c r="C33" s="22"/>
      <c r="D33" s="22"/>
      <c r="E33" s="22"/>
      <c r="F33" s="22"/>
      <c r="G33" s="22"/>
    </row>
  </sheetData>
  <mergeCells count="33">
    <mergeCell ref="E27:E28"/>
    <mergeCell ref="A26:B26"/>
    <mergeCell ref="C26:D26"/>
    <mergeCell ref="F27:G27"/>
    <mergeCell ref="A9:A10"/>
    <mergeCell ref="A18:A19"/>
    <mergeCell ref="A27:A28"/>
    <mergeCell ref="B9:B10"/>
    <mergeCell ref="B18:B19"/>
    <mergeCell ref="B27:B28"/>
    <mergeCell ref="C9:C10"/>
    <mergeCell ref="C18:C19"/>
    <mergeCell ref="C27:C28"/>
    <mergeCell ref="D9:D10"/>
    <mergeCell ref="D18:D19"/>
    <mergeCell ref="D27:D28"/>
    <mergeCell ref="A17:B17"/>
    <mergeCell ref="C17:D17"/>
    <mergeCell ref="F18:G18"/>
    <mergeCell ref="A25:B25"/>
    <mergeCell ref="C25:D25"/>
    <mergeCell ref="E18:E19"/>
    <mergeCell ref="A8:B8"/>
    <mergeCell ref="C8:D8"/>
    <mergeCell ref="F9:G9"/>
    <mergeCell ref="A16:B16"/>
    <mergeCell ref="C16:D16"/>
    <mergeCell ref="E9:E10"/>
    <mergeCell ref="A2:G2"/>
    <mergeCell ref="A3:G3"/>
    <mergeCell ref="A4:G4"/>
    <mergeCell ref="A7:B7"/>
    <mergeCell ref="C7:D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8"/>
  <sheetViews>
    <sheetView topLeftCell="A7" workbookViewId="0">
      <selection activeCell="J24" sqref="J24"/>
    </sheetView>
  </sheetViews>
  <sheetFormatPr defaultColWidth="9.140625" defaultRowHeight="15"/>
  <cols>
    <col min="1" max="1" width="9.85546875"/>
    <col min="2" max="2" width="21.140625" customWidth="1"/>
    <col min="3" max="3" width="8.42578125" customWidth="1"/>
    <col min="4" max="4" width="14.42578125" customWidth="1"/>
    <col min="5" max="5" width="13.5703125" customWidth="1"/>
    <col min="6" max="6" width="8.5703125" customWidth="1"/>
    <col min="7" max="7" width="14" customWidth="1"/>
    <col min="8" max="8" width="14.28515625" customWidth="1"/>
    <col min="9" max="9" width="5.42578125" customWidth="1"/>
    <col min="10" max="10" width="13.28515625" customWidth="1"/>
    <col min="11" max="11" width="13.85546875" customWidth="1"/>
  </cols>
  <sheetData>
    <row r="2" spans="1:11">
      <c r="A2" s="345" t="s">
        <v>0</v>
      </c>
      <c r="B2" s="346"/>
      <c r="C2" s="346"/>
      <c r="D2" s="346"/>
      <c r="E2" s="346"/>
      <c r="F2" s="346"/>
      <c r="G2" s="346"/>
      <c r="H2" s="346"/>
      <c r="I2" s="346"/>
      <c r="J2" s="346"/>
      <c r="K2" s="347"/>
    </row>
    <row r="3" spans="1:11">
      <c r="A3" s="348" t="s">
        <v>184</v>
      </c>
      <c r="B3" s="349"/>
      <c r="C3" s="349"/>
      <c r="D3" s="349"/>
      <c r="E3" s="349"/>
      <c r="F3" s="349"/>
      <c r="G3" s="349"/>
      <c r="H3" s="349"/>
      <c r="I3" s="349"/>
      <c r="J3" s="349"/>
      <c r="K3" s="350"/>
    </row>
    <row r="4" spans="1:11">
      <c r="A4" s="351" t="s">
        <v>132</v>
      </c>
      <c r="B4" s="352"/>
      <c r="C4" s="352"/>
      <c r="D4" s="352"/>
      <c r="E4" s="352"/>
      <c r="F4" s="352"/>
      <c r="G4" s="352"/>
      <c r="H4" s="352"/>
      <c r="I4" s="352"/>
      <c r="J4" s="352"/>
      <c r="K4" s="353"/>
    </row>
    <row r="5" spans="1:11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>
      <c r="A7" s="336" t="s">
        <v>185</v>
      </c>
      <c r="B7" s="337"/>
      <c r="C7" s="337" t="s">
        <v>22</v>
      </c>
      <c r="D7" s="337"/>
      <c r="E7" s="137"/>
      <c r="F7" s="137"/>
      <c r="G7" s="137"/>
      <c r="H7" s="137"/>
      <c r="I7" s="137"/>
      <c r="J7" s="137"/>
      <c r="K7" s="147"/>
    </row>
    <row r="8" spans="1:11">
      <c r="A8" s="338" t="s">
        <v>186</v>
      </c>
      <c r="B8" s="339"/>
      <c r="C8" s="339" t="str">
        <f>VLOOKUP(C7,'MATER AKUN'!$G$9:$I$19,2,FALSE)</f>
        <v>QUEEN C405</v>
      </c>
      <c r="D8" s="339"/>
      <c r="E8" s="136"/>
      <c r="F8" s="136"/>
      <c r="G8" s="136"/>
      <c r="H8" s="136"/>
      <c r="I8" s="136"/>
      <c r="J8" s="136"/>
      <c r="K8" s="148"/>
    </row>
    <row r="9" spans="1:11">
      <c r="A9" s="300" t="s">
        <v>173</v>
      </c>
      <c r="B9" s="302" t="s">
        <v>174</v>
      </c>
      <c r="C9" s="340" t="s">
        <v>187</v>
      </c>
      <c r="D9" s="340"/>
      <c r="E9" s="340"/>
      <c r="F9" s="340" t="s">
        <v>188</v>
      </c>
      <c r="G9" s="340"/>
      <c r="H9" s="340"/>
      <c r="I9" s="340" t="s">
        <v>178</v>
      </c>
      <c r="J9" s="340"/>
      <c r="K9" s="341"/>
    </row>
    <row r="10" spans="1:11">
      <c r="A10" s="300"/>
      <c r="B10" s="302"/>
      <c r="C10" s="84" t="s">
        <v>189</v>
      </c>
      <c r="D10" s="84" t="s">
        <v>190</v>
      </c>
      <c r="E10" s="84" t="s">
        <v>18</v>
      </c>
      <c r="F10" s="84" t="s">
        <v>189</v>
      </c>
      <c r="G10" s="84" t="s">
        <v>190</v>
      </c>
      <c r="H10" s="84" t="s">
        <v>18</v>
      </c>
      <c r="I10" s="84" t="s">
        <v>189</v>
      </c>
      <c r="J10" s="84" t="s">
        <v>190</v>
      </c>
      <c r="K10" s="85" t="s">
        <v>18</v>
      </c>
    </row>
    <row r="11" spans="1:11">
      <c r="A11" s="138"/>
      <c r="B11" s="89" t="s">
        <v>179</v>
      </c>
      <c r="C11" s="89"/>
      <c r="D11" s="90"/>
      <c r="E11" s="90"/>
      <c r="F11" s="89"/>
      <c r="G11" s="90"/>
      <c r="H11" s="90"/>
      <c r="I11" s="89">
        <f>VLOOKUP(C7,'MATER AKUN'!$G$9:$N$19,6,FALSE)</f>
        <v>15</v>
      </c>
      <c r="J11" s="139">
        <f>VLOOKUP(C7,'MATER AKUN'!$G$9:$N$19,7,FALSE)</f>
        <v>1200000</v>
      </c>
      <c r="K11" s="149">
        <f>VLOOKUP(C7,'MATER AKUN'!$G$9:$N$19,8,FALSE)</f>
        <v>18000000</v>
      </c>
    </row>
    <row r="12" spans="1:11">
      <c r="A12" s="138">
        <v>38720</v>
      </c>
      <c r="B12" s="89" t="s">
        <v>191</v>
      </c>
      <c r="C12" s="89"/>
      <c r="D12" s="139"/>
      <c r="E12" s="139"/>
      <c r="F12" s="89">
        <v>8</v>
      </c>
      <c r="G12" s="139">
        <f>J11</f>
        <v>1200000</v>
      </c>
      <c r="H12" s="139">
        <f>F12*G12</f>
        <v>9600000</v>
      </c>
      <c r="I12" s="89">
        <f>I11-F12</f>
        <v>7</v>
      </c>
      <c r="J12" s="139">
        <f>J11</f>
        <v>1200000</v>
      </c>
      <c r="K12" s="149">
        <f>I12*J12</f>
        <v>8400000</v>
      </c>
    </row>
    <row r="13" spans="1:11">
      <c r="A13" s="138">
        <v>38721</v>
      </c>
      <c r="B13" s="89" t="s">
        <v>192</v>
      </c>
      <c r="C13" s="89">
        <v>10</v>
      </c>
      <c r="D13" s="90">
        <v>1200000</v>
      </c>
      <c r="E13" s="90">
        <f>C13*D13</f>
        <v>12000000</v>
      </c>
      <c r="F13" s="89"/>
      <c r="G13" s="90"/>
      <c r="H13" s="90"/>
      <c r="I13" s="89">
        <f>I12+C13</f>
        <v>17</v>
      </c>
      <c r="J13" s="90">
        <f>K13/I13</f>
        <v>1200000</v>
      </c>
      <c r="K13" s="91">
        <f>K12+E13</f>
        <v>20400000</v>
      </c>
    </row>
    <row r="14" spans="1:11">
      <c r="A14" s="140">
        <v>38746</v>
      </c>
      <c r="B14" s="141" t="s">
        <v>191</v>
      </c>
      <c r="C14" s="141"/>
      <c r="D14" s="142"/>
      <c r="E14" s="142"/>
      <c r="F14" s="141">
        <v>10</v>
      </c>
      <c r="G14" s="142">
        <f>J13</f>
        <v>1200000</v>
      </c>
      <c r="H14" s="142">
        <f>G14*F14</f>
        <v>12000000</v>
      </c>
      <c r="I14" s="141">
        <f>I13-F14</f>
        <v>7</v>
      </c>
      <c r="J14" s="142">
        <f>J13</f>
        <v>1200000</v>
      </c>
      <c r="K14" s="150">
        <f>J14*I14</f>
        <v>8400000</v>
      </c>
    </row>
    <row r="18" spans="1:11">
      <c r="A18" s="336" t="s">
        <v>185</v>
      </c>
      <c r="B18" s="337"/>
      <c r="C18" s="337" t="s">
        <v>26</v>
      </c>
      <c r="D18" s="337"/>
      <c r="E18" s="137"/>
      <c r="F18" s="137"/>
      <c r="G18" s="137"/>
      <c r="H18" s="137"/>
      <c r="I18" s="137"/>
      <c r="J18" s="137"/>
      <c r="K18" s="147"/>
    </row>
    <row r="19" spans="1:11">
      <c r="A19" s="338" t="s">
        <v>186</v>
      </c>
      <c r="B19" s="339"/>
      <c r="C19" s="339" t="str">
        <f>VLOOKUP(C18,'MATER AKUN'!$G$9:$I$19,2,FALSE)</f>
        <v>QUEEN C605</v>
      </c>
      <c r="D19" s="339"/>
      <c r="E19" s="136"/>
      <c r="F19" s="136"/>
      <c r="G19" s="136"/>
      <c r="H19" s="136"/>
      <c r="I19" s="136"/>
      <c r="J19" s="136"/>
      <c r="K19" s="148"/>
    </row>
    <row r="20" spans="1:11">
      <c r="A20" s="300" t="s">
        <v>173</v>
      </c>
      <c r="B20" s="302" t="s">
        <v>174</v>
      </c>
      <c r="C20" s="340" t="s">
        <v>187</v>
      </c>
      <c r="D20" s="340"/>
      <c r="E20" s="340"/>
      <c r="F20" s="340" t="s">
        <v>188</v>
      </c>
      <c r="G20" s="340"/>
      <c r="H20" s="340"/>
      <c r="I20" s="340" t="s">
        <v>178</v>
      </c>
      <c r="J20" s="340"/>
      <c r="K20" s="341"/>
    </row>
    <row r="21" spans="1:11">
      <c r="A21" s="300"/>
      <c r="B21" s="302"/>
      <c r="C21" s="84" t="s">
        <v>189</v>
      </c>
      <c r="D21" s="84" t="s">
        <v>193</v>
      </c>
      <c r="E21" s="84" t="s">
        <v>18</v>
      </c>
      <c r="F21" s="84" t="s">
        <v>189</v>
      </c>
      <c r="G21" s="84" t="s">
        <v>193</v>
      </c>
      <c r="H21" s="84" t="s">
        <v>18</v>
      </c>
      <c r="I21" s="84" t="s">
        <v>189</v>
      </c>
      <c r="J21" s="84" t="s">
        <v>193</v>
      </c>
      <c r="K21" s="85" t="s">
        <v>18</v>
      </c>
    </row>
    <row r="22" spans="1:11">
      <c r="A22" s="138"/>
      <c r="B22" s="89" t="s">
        <v>179</v>
      </c>
      <c r="C22" s="89"/>
      <c r="D22" s="90"/>
      <c r="E22" s="90"/>
      <c r="F22" s="89"/>
      <c r="G22" s="90"/>
      <c r="H22" s="90"/>
      <c r="I22" s="89">
        <f>VLOOKUP(C18,'MATER AKUN'!$G$9:$N$19,6,FALSE)</f>
        <v>50</v>
      </c>
      <c r="J22" s="139">
        <f>VLOOKUP(C18,'MATER AKUN'!$G$9:$N$19,7,FALSE)</f>
        <v>325000</v>
      </c>
      <c r="K22" s="149">
        <f>VLOOKUP(C18,'MATER AKUN'!$G$9:$N$19,8,FALSE)</f>
        <v>16250000</v>
      </c>
    </row>
    <row r="23" spans="1:11">
      <c r="A23" s="138">
        <v>38720</v>
      </c>
      <c r="B23" s="89" t="s">
        <v>191</v>
      </c>
      <c r="C23" s="89"/>
      <c r="D23" s="139"/>
      <c r="E23" s="139"/>
      <c r="F23" s="89">
        <v>30</v>
      </c>
      <c r="G23" s="139">
        <f>J22</f>
        <v>325000</v>
      </c>
      <c r="H23" s="139">
        <f>F23*G23</f>
        <v>9750000</v>
      </c>
      <c r="I23" s="89">
        <f>I22-F23</f>
        <v>20</v>
      </c>
      <c r="J23" s="139">
        <f>J22</f>
        <v>325000</v>
      </c>
      <c r="K23" s="149">
        <f>I23*J23</f>
        <v>6500000</v>
      </c>
    </row>
    <row r="24" spans="1:11">
      <c r="A24" s="138">
        <v>38721</v>
      </c>
      <c r="B24" s="89" t="s">
        <v>192</v>
      </c>
      <c r="C24" s="89">
        <v>30</v>
      </c>
      <c r="D24" s="90">
        <v>325000</v>
      </c>
      <c r="E24" s="90">
        <f>C24*D24</f>
        <v>9750000</v>
      </c>
      <c r="F24" s="89"/>
      <c r="G24" s="90"/>
      <c r="H24" s="90"/>
      <c r="I24" s="89">
        <f>I23+C24</f>
        <v>50</v>
      </c>
      <c r="J24" s="90">
        <f>K24/I24</f>
        <v>325000</v>
      </c>
      <c r="K24" s="91">
        <f>K23+E24</f>
        <v>16250000</v>
      </c>
    </row>
    <row r="25" spans="1:11">
      <c r="A25" s="143">
        <v>38723</v>
      </c>
      <c r="B25" s="11" t="s">
        <v>194</v>
      </c>
      <c r="C25" s="11">
        <v>-1</v>
      </c>
      <c r="D25" s="13">
        <f>D24</f>
        <v>325000</v>
      </c>
      <c r="E25" s="13">
        <f>C25*D25</f>
        <v>-325000</v>
      </c>
      <c r="F25" s="11"/>
      <c r="G25" s="13"/>
      <c r="H25" s="13"/>
      <c r="I25" s="11">
        <f>I24+C25</f>
        <v>49</v>
      </c>
      <c r="J25" s="13">
        <f>K25/I25</f>
        <v>325000</v>
      </c>
      <c r="K25" s="14">
        <f>K24+E25</f>
        <v>15925000</v>
      </c>
    </row>
    <row r="26" spans="1:11">
      <c r="A26" s="143">
        <v>38728</v>
      </c>
      <c r="B26" s="11" t="s">
        <v>191</v>
      </c>
      <c r="C26" s="11"/>
      <c r="D26" s="13"/>
      <c r="E26" s="13"/>
      <c r="F26" s="11">
        <v>-1</v>
      </c>
      <c r="G26" s="13">
        <f>J25</f>
        <v>325000</v>
      </c>
      <c r="H26" s="13">
        <f>F26*G26</f>
        <v>-325000</v>
      </c>
      <c r="I26" s="11">
        <f>I25-F26</f>
        <v>50</v>
      </c>
      <c r="J26" s="13">
        <f>J25</f>
        <v>325000</v>
      </c>
      <c r="K26" s="14">
        <f>I26*J26</f>
        <v>16250000</v>
      </c>
    </row>
    <row r="27" spans="1:11">
      <c r="A27" s="140">
        <v>38746</v>
      </c>
      <c r="B27" s="141" t="s">
        <v>191</v>
      </c>
      <c r="C27" s="141"/>
      <c r="D27" s="142"/>
      <c r="E27" s="142"/>
      <c r="F27" s="141">
        <v>35</v>
      </c>
      <c r="G27" s="142">
        <f>J26</f>
        <v>325000</v>
      </c>
      <c r="H27" s="142">
        <f>G27*F27</f>
        <v>11375000</v>
      </c>
      <c r="I27" s="141">
        <f>I26-F27</f>
        <v>15</v>
      </c>
      <c r="J27" s="142">
        <f>J26</f>
        <v>325000</v>
      </c>
      <c r="K27" s="150">
        <f>J27*I27</f>
        <v>4875000</v>
      </c>
    </row>
    <row r="30" spans="1:11">
      <c r="A30" s="336" t="s">
        <v>185</v>
      </c>
      <c r="B30" s="337"/>
      <c r="C30" s="337" t="s">
        <v>29</v>
      </c>
      <c r="D30" s="337"/>
      <c r="E30" s="137"/>
      <c r="F30" s="137"/>
      <c r="G30" s="137"/>
      <c r="H30" s="137"/>
      <c r="I30" s="137"/>
      <c r="J30" s="137"/>
      <c r="K30" s="147"/>
    </row>
    <row r="31" spans="1:11">
      <c r="A31" s="338" t="s">
        <v>186</v>
      </c>
      <c r="B31" s="339"/>
      <c r="C31" s="339" t="str">
        <f>VLOOKUP(C30,'MATER AKUN'!$G$9:$I$19,2,FALSE)</f>
        <v>STONES C109</v>
      </c>
      <c r="D31" s="339"/>
      <c r="E31" s="136"/>
      <c r="F31" s="136"/>
      <c r="G31" s="136"/>
      <c r="H31" s="136"/>
      <c r="I31" s="136"/>
      <c r="J31" s="136"/>
      <c r="K31" s="148"/>
    </row>
    <row r="32" spans="1:11">
      <c r="A32" s="300" t="s">
        <v>173</v>
      </c>
      <c r="B32" s="302" t="s">
        <v>174</v>
      </c>
      <c r="C32" s="302" t="s">
        <v>187</v>
      </c>
      <c r="D32" s="302"/>
      <c r="E32" s="302"/>
      <c r="F32" s="302" t="s">
        <v>188</v>
      </c>
      <c r="G32" s="302"/>
      <c r="H32" s="302"/>
      <c r="I32" s="302" t="s">
        <v>178</v>
      </c>
      <c r="J32" s="302"/>
      <c r="K32" s="344"/>
    </row>
    <row r="33" spans="1:11">
      <c r="A33" s="300"/>
      <c r="B33" s="302"/>
      <c r="C33" s="83" t="s">
        <v>189</v>
      </c>
      <c r="D33" s="83" t="s">
        <v>193</v>
      </c>
      <c r="E33" s="83" t="s">
        <v>18</v>
      </c>
      <c r="F33" s="83" t="s">
        <v>189</v>
      </c>
      <c r="G33" s="83" t="s">
        <v>193</v>
      </c>
      <c r="H33" s="83" t="s">
        <v>18</v>
      </c>
      <c r="I33" s="83" t="s">
        <v>189</v>
      </c>
      <c r="J33" s="83" t="s">
        <v>193</v>
      </c>
      <c r="K33" s="151" t="s">
        <v>18</v>
      </c>
    </row>
    <row r="34" spans="1:11">
      <c r="A34" s="138"/>
      <c r="B34" s="89" t="s">
        <v>179</v>
      </c>
      <c r="C34" s="89"/>
      <c r="D34" s="90"/>
      <c r="E34" s="90"/>
      <c r="F34" s="89"/>
      <c r="G34" s="90"/>
      <c r="H34" s="90"/>
      <c r="I34" s="89">
        <f>VLOOKUP(C30,'MATER AKUN'!$G$9:$N$19,6,FALSE)</f>
        <v>20</v>
      </c>
      <c r="J34" s="139">
        <f>VLOOKUP(C30,'MATER AKUN'!$G$9:$N$19,7,FALSE)</f>
        <v>1400000</v>
      </c>
      <c r="K34" s="149">
        <f>VLOOKUP(C30,'MATER AKUN'!$G$9:$N$19,8,FALSE)</f>
        <v>28000000</v>
      </c>
    </row>
    <row r="35" spans="1:11">
      <c r="A35" s="138">
        <v>38739</v>
      </c>
      <c r="B35" s="89" t="s">
        <v>195</v>
      </c>
      <c r="C35" s="89"/>
      <c r="D35" s="139"/>
      <c r="E35" s="139"/>
      <c r="F35" s="89">
        <v>5</v>
      </c>
      <c r="G35" s="139">
        <f>J34</f>
        <v>1400000</v>
      </c>
      <c r="H35" s="139">
        <f>F35*G35</f>
        <v>7000000</v>
      </c>
      <c r="I35" s="89">
        <f>I34-F35</f>
        <v>15</v>
      </c>
      <c r="J35" s="139">
        <f>J34</f>
        <v>1400000</v>
      </c>
      <c r="K35" s="149">
        <f>I35*J35</f>
        <v>21000000</v>
      </c>
    </row>
    <row r="36" spans="1:11">
      <c r="A36" s="143">
        <v>38741</v>
      </c>
      <c r="B36" s="89" t="s">
        <v>195</v>
      </c>
      <c r="C36" s="89"/>
      <c r="D36" s="90"/>
      <c r="E36" s="90"/>
      <c r="F36" s="89">
        <v>-1</v>
      </c>
      <c r="G36" s="90">
        <f>J35</f>
        <v>1400000</v>
      </c>
      <c r="H36" s="90">
        <f>G36*F36</f>
        <v>-1400000</v>
      </c>
      <c r="I36" s="89">
        <f>I35-F36</f>
        <v>16</v>
      </c>
      <c r="J36" s="90">
        <f>J35</f>
        <v>1400000</v>
      </c>
      <c r="K36" s="91">
        <f>J36*I36</f>
        <v>22400000</v>
      </c>
    </row>
    <row r="37" spans="1:11">
      <c r="A37" s="140">
        <v>38743</v>
      </c>
      <c r="B37" s="144" t="s">
        <v>75</v>
      </c>
      <c r="C37" s="141"/>
      <c r="D37" s="142"/>
      <c r="E37" s="142"/>
      <c r="F37" s="141">
        <v>8</v>
      </c>
      <c r="G37" s="142">
        <f>J36</f>
        <v>1400000</v>
      </c>
      <c r="H37" s="142">
        <f>G37*F37</f>
        <v>11200000</v>
      </c>
      <c r="I37" s="141">
        <f>I36-F37</f>
        <v>8</v>
      </c>
      <c r="J37" s="142">
        <f>J36</f>
        <v>1400000</v>
      </c>
      <c r="K37" s="150">
        <f>J37*I37</f>
        <v>11200000</v>
      </c>
    </row>
    <row r="40" spans="1:11">
      <c r="A40" s="336" t="s">
        <v>185</v>
      </c>
      <c r="B40" s="337"/>
      <c r="C40" s="337" t="s">
        <v>32</v>
      </c>
      <c r="D40" s="337"/>
      <c r="E40" s="137"/>
      <c r="F40" s="137"/>
      <c r="G40" s="137"/>
      <c r="H40" s="137"/>
      <c r="I40" s="137"/>
      <c r="J40" s="137"/>
      <c r="K40" s="147"/>
    </row>
    <row r="41" spans="1:11">
      <c r="A41" s="338" t="s">
        <v>186</v>
      </c>
      <c r="B41" s="339"/>
      <c r="C41" s="339" t="str">
        <f>VLOOKUP(C40,'MATER AKUN'!$G$9:$I$19,2,FALSE)</f>
        <v>STONES C303</v>
      </c>
      <c r="D41" s="339"/>
      <c r="E41" s="136"/>
      <c r="F41" s="136"/>
      <c r="G41" s="136"/>
      <c r="H41" s="136"/>
      <c r="I41" s="136"/>
      <c r="J41" s="136"/>
      <c r="K41" s="148"/>
    </row>
    <row r="42" spans="1:11">
      <c r="A42" s="300" t="s">
        <v>173</v>
      </c>
      <c r="B42" s="302" t="s">
        <v>174</v>
      </c>
      <c r="C42" s="340" t="s">
        <v>187</v>
      </c>
      <c r="D42" s="340"/>
      <c r="E42" s="340"/>
      <c r="F42" s="340" t="s">
        <v>188</v>
      </c>
      <c r="G42" s="340"/>
      <c r="H42" s="340"/>
      <c r="I42" s="340" t="s">
        <v>178</v>
      </c>
      <c r="J42" s="340"/>
      <c r="K42" s="341"/>
    </row>
    <row r="43" spans="1:11">
      <c r="A43" s="300"/>
      <c r="B43" s="302"/>
      <c r="C43" s="84" t="s">
        <v>189</v>
      </c>
      <c r="D43" s="84" t="s">
        <v>193</v>
      </c>
      <c r="E43" s="84" t="s">
        <v>18</v>
      </c>
      <c r="F43" s="84" t="s">
        <v>189</v>
      </c>
      <c r="G43" s="84" t="s">
        <v>193</v>
      </c>
      <c r="H43" s="84" t="s">
        <v>18</v>
      </c>
      <c r="I43" s="84" t="s">
        <v>189</v>
      </c>
      <c r="J43" s="84" t="s">
        <v>193</v>
      </c>
      <c r="K43" s="85" t="s">
        <v>18</v>
      </c>
    </row>
    <row r="44" spans="1:11">
      <c r="A44" s="138"/>
      <c r="B44" s="89" t="s">
        <v>179</v>
      </c>
      <c r="C44" s="89"/>
      <c r="D44" s="90"/>
      <c r="E44" s="90"/>
      <c r="F44" s="89"/>
      <c r="G44" s="90"/>
      <c r="H44" s="90"/>
      <c r="I44" s="89">
        <f>VLOOKUP(C40,'MATER AKUN'!$G$9:$N$19,6,FALSE)</f>
        <v>15</v>
      </c>
      <c r="J44" s="139">
        <f>VLOOKUP(C40,'MATER AKUN'!$G$9:$N$19,7,FALSE)</f>
        <v>1200000</v>
      </c>
      <c r="K44" s="149">
        <f>VLOOKUP(C40,'MATER AKUN'!$G$9:$N$19,8,FALSE)</f>
        <v>18000000</v>
      </c>
    </row>
    <row r="45" spans="1:11">
      <c r="A45" s="145"/>
      <c r="B45" s="98"/>
      <c r="C45" s="98"/>
      <c r="D45" s="146"/>
      <c r="E45" s="146"/>
      <c r="F45" s="98"/>
      <c r="G45" s="146"/>
      <c r="H45" s="146"/>
      <c r="I45" s="98"/>
      <c r="J45" s="146"/>
      <c r="K45" s="152"/>
    </row>
    <row r="48" spans="1:11">
      <c r="A48" s="122" t="s">
        <v>185</v>
      </c>
      <c r="B48" s="78"/>
      <c r="C48" s="78" t="s">
        <v>37</v>
      </c>
      <c r="D48" s="78"/>
      <c r="E48" s="137"/>
      <c r="F48" s="137"/>
      <c r="G48" s="137"/>
      <c r="H48" s="137"/>
      <c r="I48" s="137"/>
      <c r="J48" s="137"/>
      <c r="K48" s="147"/>
    </row>
    <row r="49" spans="1:11">
      <c r="A49" s="82" t="s">
        <v>186</v>
      </c>
      <c r="B49" s="28"/>
      <c r="C49" s="28" t="str">
        <f>VLOOKUP(C48,'MATER AKUN'!$G$9:$I$19,2,FALSE)</f>
        <v>EBIET D708</v>
      </c>
      <c r="D49" s="28"/>
      <c r="E49" s="136"/>
      <c r="F49" s="136"/>
      <c r="G49" s="136"/>
      <c r="H49" s="136"/>
      <c r="I49" s="136"/>
      <c r="J49" s="136"/>
      <c r="K49" s="148"/>
    </row>
    <row r="50" spans="1:11">
      <c r="A50" s="300" t="s">
        <v>173</v>
      </c>
      <c r="B50" s="302" t="s">
        <v>174</v>
      </c>
      <c r="C50" s="340" t="s">
        <v>187</v>
      </c>
      <c r="D50" s="340"/>
      <c r="E50" s="340"/>
      <c r="F50" s="340" t="s">
        <v>188</v>
      </c>
      <c r="G50" s="340"/>
      <c r="H50" s="340"/>
      <c r="I50" s="340" t="s">
        <v>178</v>
      </c>
      <c r="J50" s="340"/>
      <c r="K50" s="341"/>
    </row>
    <row r="51" spans="1:11">
      <c r="A51" s="300"/>
      <c r="B51" s="302"/>
      <c r="C51" s="84" t="s">
        <v>189</v>
      </c>
      <c r="D51" s="84" t="s">
        <v>193</v>
      </c>
      <c r="E51" s="84" t="s">
        <v>18</v>
      </c>
      <c r="F51" s="84" t="s">
        <v>189</v>
      </c>
      <c r="G51" s="84" t="s">
        <v>193</v>
      </c>
      <c r="H51" s="84" t="s">
        <v>18</v>
      </c>
      <c r="I51" s="84" t="s">
        <v>189</v>
      </c>
      <c r="J51" s="84" t="s">
        <v>193</v>
      </c>
      <c r="K51" s="85" t="s">
        <v>18</v>
      </c>
    </row>
    <row r="52" spans="1:11">
      <c r="A52" s="138"/>
      <c r="B52" s="89" t="s">
        <v>179</v>
      </c>
      <c r="C52" s="89"/>
      <c r="D52" s="90"/>
      <c r="E52" s="90"/>
      <c r="F52" s="89"/>
      <c r="G52" s="90"/>
      <c r="H52" s="90"/>
      <c r="I52" s="89">
        <f>VLOOKUP(C48,'MATER AKUN'!$G$9:$N$19,6,FALSE)</f>
        <v>8</v>
      </c>
      <c r="J52" s="139">
        <f>VLOOKUP(C48,'MATER AKUN'!$G$9:$N$19,7,FALSE)</f>
        <v>2850000</v>
      </c>
      <c r="K52" s="149">
        <f>VLOOKUP(C48,'MATER AKUN'!$G$9:$N$19,8,FALSE)</f>
        <v>22800000</v>
      </c>
    </row>
    <row r="53" spans="1:11">
      <c r="A53" s="138">
        <v>38739</v>
      </c>
      <c r="B53" s="89" t="s">
        <v>195</v>
      </c>
      <c r="C53" s="89"/>
      <c r="D53" s="139"/>
      <c r="E53" s="139"/>
      <c r="F53" s="89">
        <v>4</v>
      </c>
      <c r="G53" s="139">
        <f>J52</f>
        <v>2850000</v>
      </c>
      <c r="H53" s="139">
        <f>F53*G53</f>
        <v>11400000</v>
      </c>
      <c r="I53" s="89">
        <f>I52-F53</f>
        <v>4</v>
      </c>
      <c r="J53" s="139">
        <f>J52</f>
        <v>2850000</v>
      </c>
      <c r="K53" s="149">
        <f>I53*J53</f>
        <v>11400000</v>
      </c>
    </row>
    <row r="54" spans="1:11">
      <c r="A54" s="145"/>
      <c r="B54" s="98"/>
      <c r="C54" s="98"/>
      <c r="D54" s="99"/>
      <c r="E54" s="99"/>
      <c r="F54" s="98"/>
      <c r="G54" s="99"/>
      <c r="H54" s="99"/>
      <c r="I54" s="98"/>
      <c r="J54" s="99"/>
      <c r="K54" s="100"/>
    </row>
    <row r="57" spans="1:11">
      <c r="A57" s="122" t="s">
        <v>185</v>
      </c>
      <c r="B57" s="78"/>
      <c r="C57" s="78" t="s">
        <v>40</v>
      </c>
      <c r="D57" s="78"/>
      <c r="E57" s="137"/>
      <c r="F57" s="137"/>
      <c r="G57" s="137"/>
      <c r="H57" s="137"/>
      <c r="I57" s="137"/>
      <c r="J57" s="137"/>
      <c r="K57" s="147"/>
    </row>
    <row r="58" spans="1:11">
      <c r="A58" s="82" t="s">
        <v>186</v>
      </c>
      <c r="B58" s="28"/>
      <c r="C58" s="28" t="str">
        <f>VLOOKUP(C57,'MATER AKUN'!$G$9:$I$19,2,FALSE)</f>
        <v>EBIET D908</v>
      </c>
      <c r="D58" s="28"/>
      <c r="E58" s="136"/>
      <c r="F58" s="136"/>
      <c r="G58" s="136"/>
      <c r="H58" s="136"/>
      <c r="I58" s="136"/>
      <c r="J58" s="136"/>
      <c r="K58" s="148"/>
    </row>
    <row r="59" spans="1:11">
      <c r="A59" s="300" t="s">
        <v>173</v>
      </c>
      <c r="B59" s="302" t="s">
        <v>174</v>
      </c>
      <c r="C59" s="340" t="s">
        <v>187</v>
      </c>
      <c r="D59" s="340"/>
      <c r="E59" s="340"/>
      <c r="F59" s="340" t="s">
        <v>188</v>
      </c>
      <c r="G59" s="340"/>
      <c r="H59" s="340"/>
      <c r="I59" s="340" t="s">
        <v>178</v>
      </c>
      <c r="J59" s="340"/>
      <c r="K59" s="341"/>
    </row>
    <row r="60" spans="1:11">
      <c r="A60" s="300"/>
      <c r="B60" s="302"/>
      <c r="C60" s="84" t="s">
        <v>189</v>
      </c>
      <c r="D60" s="84" t="s">
        <v>193</v>
      </c>
      <c r="E60" s="84" t="s">
        <v>18</v>
      </c>
      <c r="F60" s="84" t="s">
        <v>189</v>
      </c>
      <c r="G60" s="84" t="s">
        <v>193</v>
      </c>
      <c r="H60" s="84" t="s">
        <v>18</v>
      </c>
      <c r="I60" s="84" t="s">
        <v>189</v>
      </c>
      <c r="J60" s="84" t="s">
        <v>193</v>
      </c>
      <c r="K60" s="85" t="s">
        <v>18</v>
      </c>
    </row>
    <row r="61" spans="1:11">
      <c r="A61" s="138"/>
      <c r="B61" s="89" t="s">
        <v>179</v>
      </c>
      <c r="C61" s="89"/>
      <c r="D61" s="90"/>
      <c r="E61" s="90"/>
      <c r="F61" s="89"/>
      <c r="G61" s="90"/>
      <c r="H61" s="90"/>
      <c r="I61" s="89">
        <f>VLOOKUP(C57,'MATER AKUN'!$G$9:$N$19,6,FALSE)</f>
        <v>12</v>
      </c>
      <c r="J61" s="139">
        <f>VLOOKUP(C57,'MATER AKUN'!$G$9:$N$19,7,FALSE)</f>
        <v>590000</v>
      </c>
      <c r="K61" s="149">
        <f>VLOOKUP(C57,'MATER AKUN'!$G$9:$N$19,8,FALSE)</f>
        <v>7080000</v>
      </c>
    </row>
    <row r="62" spans="1:11">
      <c r="A62" s="145">
        <v>38739</v>
      </c>
      <c r="B62" s="98" t="s">
        <v>195</v>
      </c>
      <c r="C62" s="98"/>
      <c r="D62" s="146"/>
      <c r="E62" s="146"/>
      <c r="F62" s="98">
        <v>6</v>
      </c>
      <c r="G62" s="146">
        <f>J61</f>
        <v>590000</v>
      </c>
      <c r="H62" s="146">
        <f>F62*G62</f>
        <v>3540000</v>
      </c>
      <c r="I62" s="98">
        <f>I61-F62</f>
        <v>6</v>
      </c>
      <c r="J62" s="146">
        <f>J61</f>
        <v>590000</v>
      </c>
      <c r="K62" s="152">
        <f>I62*J62</f>
        <v>3540000</v>
      </c>
    </row>
    <row r="65" spans="1:11">
      <c r="A65" s="122" t="s">
        <v>185</v>
      </c>
      <c r="B65" s="78"/>
      <c r="C65" s="78" t="s">
        <v>45</v>
      </c>
      <c r="D65" s="78"/>
      <c r="E65" s="137"/>
      <c r="F65" s="137"/>
      <c r="G65" s="137"/>
      <c r="H65" s="137"/>
      <c r="I65" s="137"/>
      <c r="J65" s="137"/>
      <c r="K65" s="147"/>
    </row>
    <row r="66" spans="1:11">
      <c r="A66" s="82" t="s">
        <v>186</v>
      </c>
      <c r="B66" s="28"/>
      <c r="C66" s="28" t="str">
        <f>VLOOKUP(C65,'MATER AKUN'!$G$9:$I$19,2,FALSE)</f>
        <v>TAMERLAND L1</v>
      </c>
      <c r="D66" s="28"/>
      <c r="E66" s="136"/>
      <c r="F66" s="136"/>
      <c r="G66" s="136"/>
      <c r="H66" s="136"/>
      <c r="I66" s="136"/>
      <c r="J66" s="136"/>
      <c r="K66" s="148"/>
    </row>
    <row r="67" spans="1:11">
      <c r="A67" s="300" t="s">
        <v>173</v>
      </c>
      <c r="B67" s="302" t="s">
        <v>174</v>
      </c>
      <c r="C67" s="340" t="s">
        <v>187</v>
      </c>
      <c r="D67" s="340"/>
      <c r="E67" s="340"/>
      <c r="F67" s="340" t="s">
        <v>188</v>
      </c>
      <c r="G67" s="340"/>
      <c r="H67" s="340"/>
      <c r="I67" s="340" t="s">
        <v>178</v>
      </c>
      <c r="J67" s="340"/>
      <c r="K67" s="341"/>
    </row>
    <row r="68" spans="1:11">
      <c r="A68" s="300"/>
      <c r="B68" s="302"/>
      <c r="C68" s="84" t="s">
        <v>189</v>
      </c>
      <c r="D68" s="84" t="s">
        <v>193</v>
      </c>
      <c r="E68" s="84" t="s">
        <v>18</v>
      </c>
      <c r="F68" s="84" t="s">
        <v>189</v>
      </c>
      <c r="G68" s="84" t="s">
        <v>193</v>
      </c>
      <c r="H68" s="84" t="s">
        <v>18</v>
      </c>
      <c r="I68" s="84" t="s">
        <v>189</v>
      </c>
      <c r="J68" s="84" t="s">
        <v>193</v>
      </c>
      <c r="K68" s="85" t="s">
        <v>18</v>
      </c>
    </row>
    <row r="69" spans="1:11">
      <c r="A69" s="138"/>
      <c r="B69" s="89" t="s">
        <v>179</v>
      </c>
      <c r="C69" s="89"/>
      <c r="D69" s="90"/>
      <c r="E69" s="90"/>
      <c r="F69" s="89"/>
      <c r="G69" s="90"/>
      <c r="H69" s="90"/>
      <c r="I69" s="89">
        <f>VLOOKUP(C65,'MATER AKUN'!$G$9:$N$19,6,FALSE)</f>
        <v>15</v>
      </c>
      <c r="J69" s="139">
        <f>VLOOKUP(C65,'MATER AKUN'!$G$9:$N$19,7,FALSE)</f>
        <v>1300000</v>
      </c>
      <c r="K69" s="149">
        <f>VLOOKUP(C65,'MATER AKUN'!$G$9:$N$19,8,FALSE)</f>
        <v>19500000</v>
      </c>
    </row>
    <row r="70" spans="1:11">
      <c r="A70" s="138">
        <v>38740</v>
      </c>
      <c r="B70" s="89" t="s">
        <v>196</v>
      </c>
      <c r="C70" s="89"/>
      <c r="D70" s="139"/>
      <c r="E70" s="139"/>
      <c r="F70" s="89">
        <v>6</v>
      </c>
      <c r="G70" s="139">
        <f>J69</f>
        <v>1300000</v>
      </c>
      <c r="H70" s="139">
        <f>F70*G70</f>
        <v>7800000</v>
      </c>
      <c r="I70" s="89">
        <f>I69-F70</f>
        <v>9</v>
      </c>
      <c r="J70" s="139">
        <f>J69</f>
        <v>1300000</v>
      </c>
      <c r="K70" s="149">
        <f>J70*I70</f>
        <v>11700000</v>
      </c>
    </row>
    <row r="71" spans="1:11">
      <c r="A71" s="145">
        <v>38743</v>
      </c>
      <c r="B71" s="98" t="s">
        <v>75</v>
      </c>
      <c r="C71" s="98"/>
      <c r="D71" s="99"/>
      <c r="E71" s="99"/>
      <c r="F71" s="98">
        <v>6</v>
      </c>
      <c r="G71" s="99">
        <f>J70</f>
        <v>1300000</v>
      </c>
      <c r="H71" s="99">
        <f>F71</f>
        <v>6</v>
      </c>
      <c r="I71" s="98">
        <f>I70-F71</f>
        <v>3</v>
      </c>
      <c r="J71" s="99">
        <f>J70</f>
        <v>1300000</v>
      </c>
      <c r="K71" s="100">
        <f>J71*I71</f>
        <v>3900000</v>
      </c>
    </row>
    <row r="74" spans="1:11">
      <c r="A74" s="122" t="s">
        <v>185</v>
      </c>
      <c r="B74" s="78"/>
      <c r="C74" s="78" t="s">
        <v>48</v>
      </c>
      <c r="D74" s="78"/>
      <c r="E74" s="137"/>
      <c r="F74" s="137"/>
      <c r="G74" s="137"/>
      <c r="H74" s="137"/>
      <c r="I74" s="137"/>
      <c r="J74" s="137"/>
      <c r="K74" s="147"/>
    </row>
    <row r="75" spans="1:11">
      <c r="A75" s="82" t="s">
        <v>186</v>
      </c>
      <c r="B75" s="28"/>
      <c r="C75" s="28" t="str">
        <f>VLOOKUP(C74,'MATER AKUN'!$G$9:$I$19,2,FALSE)</f>
        <v>TAMERLAND L2</v>
      </c>
      <c r="D75" s="28"/>
      <c r="E75" s="136"/>
      <c r="F75" s="136"/>
      <c r="G75" s="136"/>
      <c r="H75" s="136"/>
      <c r="I75" s="136"/>
      <c r="J75" s="136"/>
      <c r="K75" s="148"/>
    </row>
    <row r="76" spans="1:11">
      <c r="A76" s="300" t="s">
        <v>173</v>
      </c>
      <c r="B76" s="302" t="s">
        <v>174</v>
      </c>
      <c r="C76" s="340" t="s">
        <v>187</v>
      </c>
      <c r="D76" s="340"/>
      <c r="E76" s="340"/>
      <c r="F76" s="340" t="s">
        <v>188</v>
      </c>
      <c r="G76" s="340"/>
      <c r="H76" s="340"/>
      <c r="I76" s="340" t="s">
        <v>178</v>
      </c>
      <c r="J76" s="340"/>
      <c r="K76" s="341"/>
    </row>
    <row r="77" spans="1:11">
      <c r="A77" s="300"/>
      <c r="B77" s="302"/>
      <c r="C77" s="84" t="s">
        <v>189</v>
      </c>
      <c r="D77" s="84" t="s">
        <v>193</v>
      </c>
      <c r="E77" s="84" t="s">
        <v>18</v>
      </c>
      <c r="F77" s="84" t="s">
        <v>189</v>
      </c>
      <c r="G77" s="84" t="s">
        <v>193</v>
      </c>
      <c r="H77" s="84" t="s">
        <v>18</v>
      </c>
      <c r="I77" s="84" t="s">
        <v>189</v>
      </c>
      <c r="J77" s="84" t="s">
        <v>193</v>
      </c>
      <c r="K77" s="85" t="s">
        <v>18</v>
      </c>
    </row>
    <row r="78" spans="1:11">
      <c r="A78" s="138"/>
      <c r="B78" s="89" t="s">
        <v>179</v>
      </c>
      <c r="C78" s="89"/>
      <c r="D78" s="90"/>
      <c r="E78" s="90"/>
      <c r="F78" s="89"/>
      <c r="G78" s="90"/>
      <c r="H78" s="90"/>
      <c r="I78" s="89">
        <f>VLOOKUP(C74,'MATER AKUN'!$G$9:$N$19,6,FALSE)</f>
        <v>12</v>
      </c>
      <c r="J78" s="139">
        <f>VLOOKUP(C74,'MATER AKUN'!$G$9:$N$19,7,FALSE)</f>
        <v>1750000</v>
      </c>
      <c r="K78" s="149">
        <f>VLOOKUP(C74,'MATER AKUN'!$G$9:$N$19,8,FALSE)</f>
        <v>21000000</v>
      </c>
    </row>
    <row r="79" spans="1:11">
      <c r="A79" s="138">
        <v>38740</v>
      </c>
      <c r="B79" s="89" t="s">
        <v>196</v>
      </c>
      <c r="C79" s="89"/>
      <c r="D79" s="139"/>
      <c r="E79" s="139"/>
      <c r="F79" s="89">
        <v>8</v>
      </c>
      <c r="G79" s="139">
        <f>J78</f>
        <v>1750000</v>
      </c>
      <c r="H79" s="139">
        <f>G79*F79</f>
        <v>14000000</v>
      </c>
      <c r="I79" s="89">
        <f>I78-F79</f>
        <v>4</v>
      </c>
      <c r="J79" s="139">
        <f>J78</f>
        <v>1750000</v>
      </c>
      <c r="K79" s="149">
        <f>J79*I79</f>
        <v>7000000</v>
      </c>
    </row>
    <row r="80" spans="1:11">
      <c r="A80" s="145">
        <v>38743</v>
      </c>
      <c r="B80" s="98" t="s">
        <v>75</v>
      </c>
      <c r="C80" s="98"/>
      <c r="D80" s="99"/>
      <c r="E80" s="99"/>
      <c r="F80" s="98">
        <v>3</v>
      </c>
      <c r="G80" s="99">
        <f>J79</f>
        <v>1750000</v>
      </c>
      <c r="H80" s="99">
        <f>G80*F80</f>
        <v>5250000</v>
      </c>
      <c r="I80" s="98">
        <f>I79-F80</f>
        <v>1</v>
      </c>
      <c r="J80" s="99">
        <f>J79</f>
        <v>1750000</v>
      </c>
      <c r="K80" s="100">
        <f>J80*I80</f>
        <v>1750000</v>
      </c>
    </row>
    <row r="83" spans="1:11">
      <c r="A83" s="122" t="s">
        <v>185</v>
      </c>
      <c r="B83" s="78"/>
      <c r="C83" s="78" t="s">
        <v>51</v>
      </c>
      <c r="D83" s="78"/>
      <c r="E83" s="137"/>
      <c r="F83" s="137"/>
      <c r="G83" s="137"/>
      <c r="H83" s="137"/>
      <c r="I83" s="137"/>
      <c r="J83" s="137"/>
      <c r="K83" s="147"/>
    </row>
    <row r="84" spans="1:11">
      <c r="A84" s="82" t="s">
        <v>186</v>
      </c>
      <c r="B84" s="28"/>
      <c r="C84" s="28" t="str">
        <f>VLOOKUP(C83,'MATER AKUN'!$G$9:$I$19,2,FALSE)</f>
        <v>TAMERLAND L3</v>
      </c>
      <c r="D84" s="28"/>
      <c r="E84" s="136"/>
      <c r="F84" s="136"/>
      <c r="G84" s="136"/>
      <c r="H84" s="136"/>
      <c r="I84" s="136"/>
      <c r="J84" s="136"/>
      <c r="K84" s="148"/>
    </row>
    <row r="85" spans="1:11">
      <c r="A85" s="300" t="s">
        <v>173</v>
      </c>
      <c r="B85" s="302" t="s">
        <v>174</v>
      </c>
      <c r="C85" s="340" t="s">
        <v>187</v>
      </c>
      <c r="D85" s="340"/>
      <c r="E85" s="340"/>
      <c r="F85" s="340" t="s">
        <v>188</v>
      </c>
      <c r="G85" s="340"/>
      <c r="H85" s="340"/>
      <c r="I85" s="340" t="s">
        <v>178</v>
      </c>
      <c r="J85" s="340"/>
      <c r="K85" s="341"/>
    </row>
    <row r="86" spans="1:11">
      <c r="A86" s="300"/>
      <c r="B86" s="302"/>
      <c r="C86" s="84" t="s">
        <v>189</v>
      </c>
      <c r="D86" s="84" t="s">
        <v>193</v>
      </c>
      <c r="E86" s="84" t="s">
        <v>18</v>
      </c>
      <c r="F86" s="84" t="s">
        <v>189</v>
      </c>
      <c r="G86" s="84" t="s">
        <v>193</v>
      </c>
      <c r="H86" s="84" t="s">
        <v>18</v>
      </c>
      <c r="I86" s="84" t="s">
        <v>189</v>
      </c>
      <c r="J86" s="84" t="s">
        <v>193</v>
      </c>
      <c r="K86" s="85" t="s">
        <v>18</v>
      </c>
    </row>
    <row r="87" spans="1:11">
      <c r="A87" s="138"/>
      <c r="B87" s="89" t="s">
        <v>179</v>
      </c>
      <c r="C87" s="89"/>
      <c r="D87" s="90"/>
      <c r="E87" s="90"/>
      <c r="F87" s="89"/>
      <c r="G87" s="90"/>
      <c r="H87" s="90"/>
      <c r="I87" s="89">
        <f>VLOOKUP(C83,'MATER AKUN'!$G$9:$N$19,6,FALSE)</f>
        <v>15</v>
      </c>
      <c r="J87" s="139">
        <f>VLOOKUP(C83,'MATER AKUN'!$G$9:$N$19,7,FALSE)</f>
        <v>1050000</v>
      </c>
      <c r="K87" s="149">
        <f>VLOOKUP(C83,'MATER AKUN'!$G$9:$N$19,8,FALSE)</f>
        <v>15750000</v>
      </c>
    </row>
    <row r="88" spans="1:11">
      <c r="A88" s="145">
        <v>38740</v>
      </c>
      <c r="B88" s="98" t="s">
        <v>196</v>
      </c>
      <c r="C88" s="98"/>
      <c r="D88" s="146"/>
      <c r="E88" s="146"/>
      <c r="F88" s="98">
        <v>7</v>
      </c>
      <c r="G88" s="146">
        <f>J87</f>
        <v>1050000</v>
      </c>
      <c r="H88" s="146">
        <f>G88*F88</f>
        <v>7350000</v>
      </c>
      <c r="I88" s="98">
        <f>I87-F88</f>
        <v>8</v>
      </c>
      <c r="J88" s="146">
        <f>J87</f>
        <v>1050000</v>
      </c>
      <c r="K88" s="152">
        <f>J88*I88</f>
        <v>8400000</v>
      </c>
    </row>
  </sheetData>
  <mergeCells count="64">
    <mergeCell ref="B50:B51"/>
    <mergeCell ref="B59:B60"/>
    <mergeCell ref="B67:B68"/>
    <mergeCell ref="B76:B77"/>
    <mergeCell ref="B85:B86"/>
    <mergeCell ref="C85:E85"/>
    <mergeCell ref="F85:H85"/>
    <mergeCell ref="I85:K85"/>
    <mergeCell ref="A9:A10"/>
    <mergeCell ref="A20:A21"/>
    <mergeCell ref="A32:A33"/>
    <mergeCell ref="A42:A43"/>
    <mergeCell ref="A50:A51"/>
    <mergeCell ref="A59:A60"/>
    <mergeCell ref="A67:A68"/>
    <mergeCell ref="A76:A77"/>
    <mergeCell ref="A85:A86"/>
    <mergeCell ref="B9:B10"/>
    <mergeCell ref="B20:B21"/>
    <mergeCell ref="B32:B33"/>
    <mergeCell ref="B42:B43"/>
    <mergeCell ref="C67:E67"/>
    <mergeCell ref="F67:H67"/>
    <mergeCell ref="I67:K67"/>
    <mergeCell ref="C76:E76"/>
    <mergeCell ref="F76:H76"/>
    <mergeCell ref="I76:K76"/>
    <mergeCell ref="C50:E50"/>
    <mergeCell ref="F50:H50"/>
    <mergeCell ref="I50:K50"/>
    <mergeCell ref="C59:E59"/>
    <mergeCell ref="F59:H59"/>
    <mergeCell ref="I59:K59"/>
    <mergeCell ref="A41:B41"/>
    <mergeCell ref="C41:D41"/>
    <mergeCell ref="C42:E42"/>
    <mergeCell ref="F42:H42"/>
    <mergeCell ref="I42:K42"/>
    <mergeCell ref="C32:E32"/>
    <mergeCell ref="F32:H32"/>
    <mergeCell ref="I32:K32"/>
    <mergeCell ref="A40:B40"/>
    <mergeCell ref="C40:D40"/>
    <mergeCell ref="F20:H20"/>
    <mergeCell ref="I20:K20"/>
    <mergeCell ref="A30:B30"/>
    <mergeCell ref="C30:D30"/>
    <mergeCell ref="A31:B31"/>
    <mergeCell ref="C31:D31"/>
    <mergeCell ref="A18:B18"/>
    <mergeCell ref="C18:D18"/>
    <mergeCell ref="A19:B19"/>
    <mergeCell ref="C19:D19"/>
    <mergeCell ref="C20:E20"/>
    <mergeCell ref="A8:B8"/>
    <mergeCell ref="C8:D8"/>
    <mergeCell ref="C9:E9"/>
    <mergeCell ref="F9:H9"/>
    <mergeCell ref="I9:K9"/>
    <mergeCell ref="A2:K2"/>
    <mergeCell ref="A3:K3"/>
    <mergeCell ref="A4:K4"/>
    <mergeCell ref="A7:B7"/>
    <mergeCell ref="C7:D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3"/>
  <sheetViews>
    <sheetView topLeftCell="A229" workbookViewId="0">
      <selection activeCell="G15" sqref="G15"/>
    </sheetView>
  </sheetViews>
  <sheetFormatPr defaultColWidth="9.140625" defaultRowHeight="15"/>
  <cols>
    <col min="1" max="1" width="13.28515625" customWidth="1"/>
    <col min="2" max="2" width="38.42578125" customWidth="1"/>
    <col min="3" max="3" width="5.5703125" customWidth="1"/>
    <col min="4" max="4" width="15.140625" customWidth="1"/>
    <col min="5" max="5" width="15.7109375" customWidth="1"/>
    <col min="6" max="6" width="16" customWidth="1"/>
    <col min="7" max="7" width="17.28515625" customWidth="1"/>
  </cols>
  <sheetData>
    <row r="2" spans="1:7" ht="15.75">
      <c r="A2" s="307" t="s">
        <v>0</v>
      </c>
      <c r="B2" s="308"/>
      <c r="C2" s="308"/>
      <c r="D2" s="308"/>
      <c r="E2" s="308"/>
      <c r="F2" s="308"/>
      <c r="G2" s="309"/>
    </row>
    <row r="3" spans="1:7" ht="15.75">
      <c r="A3" s="310" t="s">
        <v>197</v>
      </c>
      <c r="B3" s="311"/>
      <c r="C3" s="311"/>
      <c r="D3" s="311"/>
      <c r="E3" s="311"/>
      <c r="F3" s="311"/>
      <c r="G3" s="312"/>
    </row>
    <row r="4" spans="1:7" ht="15.75">
      <c r="A4" s="313" t="s">
        <v>132</v>
      </c>
      <c r="B4" s="314"/>
      <c r="C4" s="314"/>
      <c r="D4" s="314"/>
      <c r="E4" s="314"/>
      <c r="F4" s="314"/>
      <c r="G4" s="315"/>
    </row>
    <row r="5" spans="1:7">
      <c r="A5" s="62"/>
      <c r="B5" s="62"/>
      <c r="C5" s="62"/>
      <c r="D5" s="62"/>
      <c r="E5" s="62"/>
      <c r="F5" s="62"/>
      <c r="G5" s="62"/>
    </row>
    <row r="7" spans="1:7">
      <c r="A7" s="76" t="s">
        <v>198</v>
      </c>
      <c r="B7" s="77">
        <v>11101</v>
      </c>
      <c r="C7" s="78"/>
      <c r="D7" s="78"/>
      <c r="E7" s="78"/>
      <c r="F7" s="78"/>
      <c r="G7" s="79"/>
    </row>
    <row r="8" spans="1:7">
      <c r="A8" s="80" t="s">
        <v>5</v>
      </c>
      <c r="B8" s="30" t="str">
        <f>VLOOKUP(B7,'MATER AKUN'!$A$7:$B$71,2,FALSE)</f>
        <v xml:space="preserve">Kas ditangan </v>
      </c>
      <c r="C8" s="28"/>
      <c r="D8" s="28"/>
      <c r="E8" s="28"/>
      <c r="F8" s="28"/>
      <c r="G8" s="81"/>
    </row>
    <row r="9" spans="1:7">
      <c r="A9" s="82"/>
      <c r="B9" s="28"/>
      <c r="C9" s="28"/>
      <c r="D9" s="28"/>
      <c r="E9" s="28"/>
      <c r="F9" s="28"/>
      <c r="G9" s="81"/>
    </row>
    <row r="10" spans="1:7">
      <c r="A10" s="300" t="s">
        <v>134</v>
      </c>
      <c r="B10" s="302" t="s">
        <v>199</v>
      </c>
      <c r="C10" s="302" t="s">
        <v>200</v>
      </c>
      <c r="D10" s="302" t="s">
        <v>201</v>
      </c>
      <c r="E10" s="302" t="s">
        <v>7</v>
      </c>
      <c r="F10" s="340" t="s">
        <v>202</v>
      </c>
      <c r="G10" s="341"/>
    </row>
    <row r="11" spans="1:7">
      <c r="A11" s="300"/>
      <c r="B11" s="302"/>
      <c r="C11" s="302"/>
      <c r="D11" s="302"/>
      <c r="E11" s="302"/>
      <c r="F11" s="86" t="s">
        <v>201</v>
      </c>
      <c r="G11" s="87" t="s">
        <v>7</v>
      </c>
    </row>
    <row r="12" spans="1:7">
      <c r="A12" s="88" t="s">
        <v>203</v>
      </c>
      <c r="B12" s="89" t="s">
        <v>204</v>
      </c>
      <c r="C12" s="89"/>
      <c r="D12" s="90"/>
      <c r="E12" s="90"/>
      <c r="F12" s="90">
        <f>VLOOKUP(B7,'MATER AKUN'!$A$7:$D$71,3,FALSE)</f>
        <v>2500000</v>
      </c>
      <c r="G12" s="91"/>
    </row>
    <row r="13" spans="1:7">
      <c r="A13" s="88" t="s">
        <v>205</v>
      </c>
      <c r="B13" s="92" t="s">
        <v>206</v>
      </c>
      <c r="C13" s="92"/>
      <c r="D13" s="93">
        <f ca="1">SUMIF('JURNAL UMUM'!$A$9:$G$120,B7,'JURNAL UMUM'!$F$9:$F$119)</f>
        <v>62035750</v>
      </c>
      <c r="E13" s="94">
        <f ca="1">SUMIF('JURNAL UMUM'!$A$9:$G$120,B7,'JURNAL UMUM'!$G$9:$G$120)</f>
        <v>562500</v>
      </c>
      <c r="F13" s="95">
        <f ca="1">F12+D13-E13</f>
        <v>63973250</v>
      </c>
      <c r="G13" s="96"/>
    </row>
    <row r="14" spans="1:7">
      <c r="A14" s="97"/>
      <c r="B14" s="98"/>
      <c r="C14" s="98"/>
      <c r="D14" s="99"/>
      <c r="E14" s="99"/>
      <c r="F14" s="99"/>
      <c r="G14" s="100"/>
    </row>
    <row r="17" spans="1:7">
      <c r="A17" s="76" t="s">
        <v>198</v>
      </c>
      <c r="B17" s="77">
        <v>11102</v>
      </c>
      <c r="C17" s="78"/>
      <c r="D17" s="78"/>
      <c r="E17" s="78"/>
      <c r="F17" s="78"/>
      <c r="G17" s="79"/>
    </row>
    <row r="18" spans="1:7">
      <c r="A18" s="80" t="s">
        <v>5</v>
      </c>
      <c r="B18" s="30" t="str">
        <f>VLOOKUP(B17,'MATER AKUN'!$A$7:$B$71,2,FALSE)</f>
        <v>Kas kecil</v>
      </c>
      <c r="C18" s="28"/>
      <c r="D18" s="28"/>
      <c r="E18" s="28"/>
      <c r="F18" s="28"/>
      <c r="G18" s="81"/>
    </row>
    <row r="19" spans="1:7">
      <c r="A19" s="82"/>
      <c r="B19" s="28"/>
      <c r="C19" s="28"/>
      <c r="D19" s="28"/>
      <c r="E19" s="28"/>
      <c r="F19" s="28"/>
      <c r="G19" s="81"/>
    </row>
    <row r="20" spans="1:7">
      <c r="A20" s="300" t="s">
        <v>134</v>
      </c>
      <c r="B20" s="302" t="s">
        <v>199</v>
      </c>
      <c r="C20" s="302" t="s">
        <v>200</v>
      </c>
      <c r="D20" s="302" t="s">
        <v>201</v>
      </c>
      <c r="E20" s="302" t="s">
        <v>7</v>
      </c>
      <c r="F20" s="340" t="s">
        <v>202</v>
      </c>
      <c r="G20" s="341"/>
    </row>
    <row r="21" spans="1:7">
      <c r="A21" s="300"/>
      <c r="B21" s="302"/>
      <c r="C21" s="302"/>
      <c r="D21" s="302"/>
      <c r="E21" s="302"/>
      <c r="F21" s="86" t="s">
        <v>201</v>
      </c>
      <c r="G21" s="87" t="s">
        <v>7</v>
      </c>
    </row>
    <row r="22" spans="1:7">
      <c r="A22" s="88" t="s">
        <v>203</v>
      </c>
      <c r="B22" s="89" t="s">
        <v>204</v>
      </c>
      <c r="C22" s="89"/>
      <c r="D22" s="90"/>
      <c r="E22" s="90"/>
      <c r="F22" s="90">
        <f>VLOOKUP(B17,'MATER AKUN'!$A$7:$D$71,3,FALSE)</f>
        <v>750000</v>
      </c>
      <c r="G22" s="91"/>
    </row>
    <row r="23" spans="1:7">
      <c r="A23" s="88" t="s">
        <v>205</v>
      </c>
      <c r="B23" s="101" t="s">
        <v>206</v>
      </c>
      <c r="C23" s="101"/>
      <c r="D23" s="94">
        <f ca="1">SUMIF('JURNAL UMUM'!$A$11:$G$108,$B$17,'JURNAL UMUM'!$F$11:$F$108)</f>
        <v>0</v>
      </c>
      <c r="E23" s="94">
        <f ca="1">SUMIF('JURNAL UMUM'!$A$11:$G$108,$B$17,'JURNAL UMUM'!$G$11:$G$108)</f>
        <v>0</v>
      </c>
      <c r="F23" s="95">
        <f ca="1">F22+D23-E23</f>
        <v>750000</v>
      </c>
      <c r="G23" s="91"/>
    </row>
    <row r="24" spans="1:7">
      <c r="A24" s="102"/>
      <c r="B24" s="98"/>
      <c r="C24" s="98"/>
      <c r="D24" s="99"/>
      <c r="E24" s="99"/>
      <c r="F24" s="99"/>
      <c r="G24" s="100"/>
    </row>
    <row r="27" spans="1:7">
      <c r="A27" s="76" t="s">
        <v>198</v>
      </c>
      <c r="B27" s="77">
        <v>11201</v>
      </c>
      <c r="C27" s="78"/>
      <c r="D27" s="78"/>
      <c r="E27" s="78"/>
      <c r="F27" s="78"/>
      <c r="G27" s="79"/>
    </row>
    <row r="28" spans="1:7">
      <c r="A28" s="80" t="s">
        <v>5</v>
      </c>
      <c r="B28" s="30" t="str">
        <f>VLOOKUP(B27,'MATER AKUN'!$A$7:$B$71,2,FALSE)</f>
        <v>Bank BCA</v>
      </c>
      <c r="C28" s="28"/>
      <c r="D28" s="28"/>
      <c r="E28" s="28"/>
      <c r="F28" s="28"/>
      <c r="G28" s="81"/>
    </row>
    <row r="29" spans="1:7">
      <c r="A29" s="82"/>
      <c r="B29" s="28"/>
      <c r="C29" s="28"/>
      <c r="D29" s="28"/>
      <c r="E29" s="28"/>
      <c r="F29" s="28"/>
      <c r="G29" s="81"/>
    </row>
    <row r="30" spans="1:7">
      <c r="A30" s="300" t="s">
        <v>134</v>
      </c>
      <c r="B30" s="302" t="s">
        <v>199</v>
      </c>
      <c r="C30" s="302" t="s">
        <v>200</v>
      </c>
      <c r="D30" s="302" t="s">
        <v>201</v>
      </c>
      <c r="E30" s="302" t="s">
        <v>7</v>
      </c>
      <c r="F30" s="340" t="s">
        <v>202</v>
      </c>
      <c r="G30" s="341"/>
    </row>
    <row r="31" spans="1:7">
      <c r="A31" s="300"/>
      <c r="B31" s="302"/>
      <c r="C31" s="302"/>
      <c r="D31" s="302"/>
      <c r="E31" s="302"/>
      <c r="F31" s="86" t="s">
        <v>201</v>
      </c>
      <c r="G31" s="87" t="s">
        <v>7</v>
      </c>
    </row>
    <row r="32" spans="1:7">
      <c r="A32" s="88" t="s">
        <v>203</v>
      </c>
      <c r="B32" s="89" t="s">
        <v>204</v>
      </c>
      <c r="C32" s="89"/>
      <c r="D32" s="90"/>
      <c r="E32" s="90"/>
      <c r="F32" s="90">
        <f>VLOOKUP(B27,'MATER AKUN'!$A$7:$D$71,3,FALSE)</f>
        <v>45000000</v>
      </c>
      <c r="G32" s="91"/>
    </row>
    <row r="33" spans="1:11">
      <c r="A33" s="88" t="s">
        <v>205</v>
      </c>
      <c r="B33" s="101" t="s">
        <v>206</v>
      </c>
      <c r="C33" s="101"/>
      <c r="D33" s="93">
        <f ca="1">SUMIF('JURNAL UMUM'!$A$9:$G$120,B27,'JURNAL UMUM'!$F$9:$F$119)</f>
        <v>44700000</v>
      </c>
      <c r="E33" s="93">
        <f ca="1">SUMIF('JURNAL UMUM'!$A$9:$G$120,B27,'JURNAL UMUM'!$G$9:$G$120)</f>
        <v>75025000</v>
      </c>
      <c r="F33" s="95">
        <f ca="1">F32+D33-E33</f>
        <v>14675000</v>
      </c>
      <c r="G33" s="91"/>
    </row>
    <row r="34" spans="1:11">
      <c r="A34" s="102"/>
      <c r="B34" s="98"/>
      <c r="C34" s="98"/>
      <c r="D34" s="99"/>
      <c r="E34" s="99"/>
      <c r="F34" s="99"/>
      <c r="G34" s="100"/>
    </row>
    <row r="37" spans="1:11">
      <c r="A37" s="76" t="s">
        <v>198</v>
      </c>
      <c r="B37" s="77">
        <v>11202</v>
      </c>
      <c r="C37" s="78"/>
      <c r="D37" s="78"/>
      <c r="E37" s="78"/>
      <c r="F37" s="78"/>
      <c r="G37" s="79"/>
    </row>
    <row r="38" spans="1:11">
      <c r="A38" s="80" t="s">
        <v>5</v>
      </c>
      <c r="B38" s="30" t="str">
        <f>VLOOKUP(B37,'MATER AKUN'!$A$7:$B$71,2,FALSE)</f>
        <v>Bank Mandiri</v>
      </c>
      <c r="C38" s="28"/>
      <c r="D38" s="28"/>
      <c r="E38" s="28"/>
      <c r="F38" s="28"/>
      <c r="G38" s="81"/>
    </row>
    <row r="39" spans="1:11">
      <c r="A39" s="82"/>
      <c r="B39" s="28"/>
      <c r="C39" s="28"/>
      <c r="D39" s="28"/>
      <c r="E39" s="28"/>
      <c r="F39" s="28"/>
      <c r="G39" s="81"/>
    </row>
    <row r="40" spans="1:11">
      <c r="A40" s="300" t="s">
        <v>134</v>
      </c>
      <c r="B40" s="302" t="s">
        <v>199</v>
      </c>
      <c r="C40" s="302" t="s">
        <v>200</v>
      </c>
      <c r="D40" s="302" t="s">
        <v>201</v>
      </c>
      <c r="E40" s="302" t="s">
        <v>7</v>
      </c>
      <c r="F40" s="340" t="s">
        <v>202</v>
      </c>
      <c r="G40" s="341"/>
    </row>
    <row r="41" spans="1:11">
      <c r="A41" s="300"/>
      <c r="B41" s="302"/>
      <c r="C41" s="302"/>
      <c r="D41" s="302"/>
      <c r="E41" s="302"/>
      <c r="F41" s="86" t="s">
        <v>201</v>
      </c>
      <c r="G41" s="87" t="s">
        <v>7</v>
      </c>
    </row>
    <row r="42" spans="1:11">
      <c r="A42" s="88" t="s">
        <v>203</v>
      </c>
      <c r="B42" s="89" t="s">
        <v>204</v>
      </c>
      <c r="C42" s="89"/>
      <c r="D42" s="90"/>
      <c r="E42" s="90"/>
      <c r="F42" s="90">
        <f>VLOOKUP(B37,'MATER AKUN'!$A$7:$D$71,3,FALSE)</f>
        <v>25000000</v>
      </c>
      <c r="G42" s="91"/>
    </row>
    <row r="43" spans="1:11">
      <c r="A43" s="88" t="s">
        <v>205</v>
      </c>
      <c r="B43" s="101" t="s">
        <v>206</v>
      </c>
      <c r="C43" s="101"/>
      <c r="D43" s="93">
        <f ca="1">SUMIF('JURNAL UMUM'!$A$11:$G$108,$B$37,'JURNAL UMUM'!$F$11:$F$108)</f>
        <v>71899000</v>
      </c>
      <c r="E43" s="93">
        <f ca="1">SUMIF('JURNAL UMUM'!$A$9:$G$120,B37,'JURNAL UMUM'!$G$9:$G$120)</f>
        <v>44887500</v>
      </c>
      <c r="F43" s="95">
        <f ca="1">F42+D43-E43</f>
        <v>52011500</v>
      </c>
      <c r="G43" s="91"/>
    </row>
    <row r="44" spans="1:11">
      <c r="A44" s="102"/>
      <c r="B44" s="98"/>
      <c r="C44" s="98"/>
      <c r="D44" s="99"/>
      <c r="E44" s="99"/>
      <c r="F44" s="99"/>
      <c r="G44" s="100"/>
      <c r="J44" s="25"/>
      <c r="K44" s="22"/>
    </row>
    <row r="45" spans="1:11">
      <c r="J45" s="25"/>
      <c r="K45" s="22"/>
    </row>
    <row r="46" spans="1:11">
      <c r="J46" s="25"/>
      <c r="K46" s="22"/>
    </row>
    <row r="47" spans="1:11">
      <c r="A47" s="76" t="s">
        <v>198</v>
      </c>
      <c r="B47" s="77">
        <v>11301</v>
      </c>
      <c r="C47" s="78"/>
      <c r="D47" s="78"/>
      <c r="E47" s="78"/>
      <c r="F47" s="78"/>
      <c r="G47" s="79"/>
      <c r="J47" s="25"/>
      <c r="K47" s="22"/>
    </row>
    <row r="48" spans="1:11">
      <c r="A48" s="80" t="s">
        <v>5</v>
      </c>
      <c r="B48" s="30" t="str">
        <f>VLOOKUP(B47,'MATER AKUN'!$A$7:$B$71,2,FALSE)</f>
        <v xml:space="preserve">Piutang Usaha </v>
      </c>
      <c r="C48" s="28"/>
      <c r="D48" s="28"/>
      <c r="E48" s="28"/>
      <c r="F48" s="28"/>
      <c r="G48" s="81"/>
      <c r="J48" s="25"/>
      <c r="K48" s="22"/>
    </row>
    <row r="49" spans="1:11">
      <c r="A49" s="82"/>
      <c r="B49" s="28"/>
      <c r="C49" s="28"/>
      <c r="D49" s="28"/>
      <c r="E49" s="28"/>
      <c r="F49" s="28"/>
      <c r="G49" s="81"/>
      <c r="J49" s="25"/>
      <c r="K49" s="22"/>
    </row>
    <row r="50" spans="1:11">
      <c r="A50" s="300" t="s">
        <v>134</v>
      </c>
      <c r="B50" s="302" t="s">
        <v>199</v>
      </c>
      <c r="C50" s="302" t="s">
        <v>200</v>
      </c>
      <c r="D50" s="302" t="s">
        <v>201</v>
      </c>
      <c r="E50" s="302" t="s">
        <v>7</v>
      </c>
      <c r="F50" s="340" t="s">
        <v>202</v>
      </c>
      <c r="G50" s="341"/>
      <c r="J50" s="25"/>
      <c r="K50" s="22"/>
    </row>
    <row r="51" spans="1:11">
      <c r="A51" s="300"/>
      <c r="B51" s="302"/>
      <c r="C51" s="302"/>
      <c r="D51" s="302"/>
      <c r="E51" s="302"/>
      <c r="F51" s="86" t="s">
        <v>201</v>
      </c>
      <c r="G51" s="87" t="s">
        <v>7</v>
      </c>
      <c r="J51" s="25"/>
      <c r="K51" s="22"/>
    </row>
    <row r="52" spans="1:11">
      <c r="A52" s="88" t="s">
        <v>203</v>
      </c>
      <c r="B52" s="89" t="s">
        <v>204</v>
      </c>
      <c r="C52" s="89"/>
      <c r="D52" s="90"/>
      <c r="E52" s="90"/>
      <c r="F52" s="90">
        <f>VLOOKUP(B47,'MATER AKUN'!$A$7:$D$71,3,FALSE)</f>
        <v>47500000</v>
      </c>
      <c r="G52" s="91"/>
    </row>
    <row r="53" spans="1:11">
      <c r="A53" s="88" t="s">
        <v>205</v>
      </c>
      <c r="B53" s="101" t="s">
        <v>206</v>
      </c>
      <c r="C53" s="101"/>
      <c r="D53" s="93">
        <f ca="1">SUMIF('JURNAL UMUM'!$A$11:$G$108,$B$47,'JURNAL UMUM'!$F$11:$F$108)</f>
        <v>59960000</v>
      </c>
      <c r="E53" s="93">
        <f ca="1">SUMIF('JURNAL UMUM'!$A$11:$G$108,$B$47,'JURNAL UMUM'!$G$11:$G$108)</f>
        <v>49425000</v>
      </c>
      <c r="F53" s="95">
        <f ca="1">F52+D53-E53</f>
        <v>58035000</v>
      </c>
      <c r="G53" s="91"/>
    </row>
    <row r="54" spans="1:11">
      <c r="A54" s="102"/>
      <c r="B54" s="98"/>
      <c r="C54" s="98"/>
      <c r="D54" s="99"/>
      <c r="E54" s="99"/>
      <c r="F54" s="99"/>
      <c r="G54" s="100"/>
    </row>
    <row r="57" spans="1:11">
      <c r="A57" s="76" t="s">
        <v>198</v>
      </c>
      <c r="B57" s="77">
        <v>11302</v>
      </c>
      <c r="C57" s="78"/>
      <c r="D57" s="78"/>
      <c r="E57" s="78"/>
      <c r="F57" s="78"/>
      <c r="G57" s="79"/>
    </row>
    <row r="58" spans="1:11">
      <c r="A58" s="80" t="s">
        <v>5</v>
      </c>
      <c r="B58" s="30" t="str">
        <f>VLOOKUP(B57,'MATER AKUN'!$A$7:$B$71,2,FALSE)</f>
        <v>Cadangan piutang tak tertagih</v>
      </c>
      <c r="C58" s="28"/>
      <c r="D58" s="28"/>
      <c r="E58" s="28"/>
      <c r="F58" s="28"/>
      <c r="G58" s="81"/>
    </row>
    <row r="59" spans="1:11">
      <c r="A59" s="82"/>
      <c r="B59" s="28"/>
      <c r="C59" s="28"/>
      <c r="D59" s="28"/>
      <c r="E59" s="28"/>
      <c r="F59" s="28"/>
      <c r="G59" s="81"/>
    </row>
    <row r="60" spans="1:11">
      <c r="A60" s="300" t="s">
        <v>134</v>
      </c>
      <c r="B60" s="302" t="s">
        <v>199</v>
      </c>
      <c r="C60" s="302" t="s">
        <v>200</v>
      </c>
      <c r="D60" s="302" t="s">
        <v>201</v>
      </c>
      <c r="E60" s="302" t="s">
        <v>7</v>
      </c>
      <c r="F60" s="340" t="s">
        <v>202</v>
      </c>
      <c r="G60" s="341"/>
    </row>
    <row r="61" spans="1:11">
      <c r="A61" s="300"/>
      <c r="B61" s="302"/>
      <c r="C61" s="302"/>
      <c r="D61" s="302"/>
      <c r="E61" s="302"/>
      <c r="F61" s="86" t="s">
        <v>201</v>
      </c>
      <c r="G61" s="87" t="s">
        <v>7</v>
      </c>
    </row>
    <row r="62" spans="1:11">
      <c r="A62" s="88" t="s">
        <v>203</v>
      </c>
      <c r="B62" s="89" t="s">
        <v>204</v>
      </c>
      <c r="C62" s="89"/>
      <c r="D62" s="90"/>
      <c r="E62" s="90"/>
      <c r="F62" s="90"/>
      <c r="G62" s="90">
        <f>VLOOKUP(B57,'MATER AKUN'!$A$7:$D$71,4,FALSE)</f>
        <v>0</v>
      </c>
    </row>
    <row r="63" spans="1:11">
      <c r="A63" s="88" t="s">
        <v>205</v>
      </c>
      <c r="B63" s="101" t="s">
        <v>206</v>
      </c>
      <c r="C63" s="101"/>
      <c r="D63" s="93">
        <f ca="1">SUMIF('JURNAL UMUM'!$A$11:$G$108,$B$57,'JURNAL UMUM'!$F$11:$F$108)</f>
        <v>0</v>
      </c>
      <c r="E63" s="93">
        <f ca="1">SUMIF('JURNAL UMUM'!$A$9:$G$119,B57,'JURNAL UMUM'!$G$9:$G$120)</f>
        <v>2901750</v>
      </c>
      <c r="F63" s="103"/>
      <c r="G63" s="91">
        <f ca="1">G62+E63-D63</f>
        <v>2901750</v>
      </c>
    </row>
    <row r="64" spans="1:11">
      <c r="A64" s="102"/>
      <c r="B64" s="98"/>
      <c r="C64" s="98"/>
      <c r="D64" s="99"/>
      <c r="E64" s="99"/>
      <c r="F64" s="99"/>
      <c r="G64" s="100"/>
    </row>
    <row r="67" spans="1:7">
      <c r="A67" s="76" t="s">
        <v>198</v>
      </c>
      <c r="B67" s="77">
        <v>11401</v>
      </c>
      <c r="C67" s="78"/>
      <c r="D67" s="78"/>
      <c r="E67" s="78"/>
      <c r="F67" s="78"/>
      <c r="G67" s="79"/>
    </row>
    <row r="68" spans="1:7">
      <c r="A68" s="80" t="s">
        <v>5</v>
      </c>
      <c r="B68" s="30" t="str">
        <f>VLOOKUP(B67,'MATER AKUN'!$A$7:$B$71,2,FALSE)</f>
        <v>Piutang Karyawan</v>
      </c>
      <c r="C68" s="28"/>
      <c r="D68" s="28"/>
      <c r="E68" s="28"/>
      <c r="F68" s="28"/>
      <c r="G68" s="81"/>
    </row>
    <row r="69" spans="1:7">
      <c r="A69" s="82"/>
      <c r="B69" s="28"/>
      <c r="C69" s="28"/>
      <c r="D69" s="28"/>
      <c r="E69" s="28"/>
      <c r="F69" s="28"/>
      <c r="G69" s="81"/>
    </row>
    <row r="70" spans="1:7">
      <c r="A70" s="300" t="s">
        <v>134</v>
      </c>
      <c r="B70" s="302" t="s">
        <v>199</v>
      </c>
      <c r="C70" s="302" t="s">
        <v>200</v>
      </c>
      <c r="D70" s="302" t="s">
        <v>201</v>
      </c>
      <c r="E70" s="302" t="s">
        <v>7</v>
      </c>
      <c r="F70" s="340" t="s">
        <v>202</v>
      </c>
      <c r="G70" s="341"/>
    </row>
    <row r="71" spans="1:7">
      <c r="A71" s="300"/>
      <c r="B71" s="302"/>
      <c r="C71" s="302"/>
      <c r="D71" s="302"/>
      <c r="E71" s="302"/>
      <c r="F71" s="86" t="s">
        <v>201</v>
      </c>
      <c r="G71" s="87" t="s">
        <v>7</v>
      </c>
    </row>
    <row r="72" spans="1:7">
      <c r="A72" s="88" t="s">
        <v>203</v>
      </c>
      <c r="B72" s="89" t="s">
        <v>204</v>
      </c>
      <c r="C72" s="89"/>
      <c r="D72" s="90"/>
      <c r="E72" s="90"/>
      <c r="F72" s="90">
        <f>VLOOKUP(B67,'MATER AKUN'!$A$7:$D$71,3,FALSE)</f>
        <v>0</v>
      </c>
      <c r="G72" s="91"/>
    </row>
    <row r="73" spans="1:7">
      <c r="A73" s="88" t="s">
        <v>205</v>
      </c>
      <c r="B73" s="101" t="s">
        <v>206</v>
      </c>
      <c r="C73" s="101"/>
      <c r="D73" s="93">
        <f ca="1">SUMIF('JURNAL UMUM'!$A$11:$G$108,$B$67,'JURNAL UMUM'!$F$11:$F$108)</f>
        <v>2500000</v>
      </c>
      <c r="E73" s="93">
        <f ca="1">SUMIF('JURNAL UMUM'!$A$11:$G$108,$B$67,'JURNAL UMUM'!$G$11:$G$108)</f>
        <v>500000</v>
      </c>
      <c r="F73" s="103">
        <f ca="1">F72+D73-E73</f>
        <v>2000000</v>
      </c>
      <c r="G73" s="91"/>
    </row>
    <row r="74" spans="1:7">
      <c r="A74" s="102"/>
      <c r="B74" s="98"/>
      <c r="C74" s="98"/>
      <c r="D74" s="99"/>
      <c r="E74" s="99"/>
      <c r="F74" s="99"/>
      <c r="G74" s="100"/>
    </row>
    <row r="77" spans="1:7">
      <c r="A77" s="76" t="s">
        <v>198</v>
      </c>
      <c r="B77" s="77">
        <v>11500</v>
      </c>
      <c r="C77" s="78"/>
      <c r="D77" s="78"/>
      <c r="E77" s="78"/>
      <c r="F77" s="78"/>
      <c r="G77" s="79"/>
    </row>
    <row r="78" spans="1:7">
      <c r="A78" s="80" t="s">
        <v>5</v>
      </c>
      <c r="B78" s="30" t="str">
        <f>VLOOKUP(B77,'MATER AKUN'!$A$7:$B$71,2,FALSE)</f>
        <v>Persediaan barang dagang</v>
      </c>
      <c r="C78" s="28"/>
      <c r="D78" s="28"/>
      <c r="E78" s="28"/>
      <c r="F78" s="28"/>
      <c r="G78" s="81"/>
    </row>
    <row r="79" spans="1:7">
      <c r="A79" s="82"/>
      <c r="B79" s="28"/>
      <c r="C79" s="28"/>
      <c r="D79" s="28"/>
      <c r="E79" s="28"/>
      <c r="F79" s="28"/>
      <c r="G79" s="81"/>
    </row>
    <row r="80" spans="1:7">
      <c r="A80" s="300" t="s">
        <v>134</v>
      </c>
      <c r="B80" s="302" t="s">
        <v>199</v>
      </c>
      <c r="C80" s="302" t="s">
        <v>200</v>
      </c>
      <c r="D80" s="302" t="s">
        <v>201</v>
      </c>
      <c r="E80" s="302" t="s">
        <v>7</v>
      </c>
      <c r="F80" s="340" t="s">
        <v>202</v>
      </c>
      <c r="G80" s="341"/>
    </row>
    <row r="81" spans="1:7">
      <c r="A81" s="300"/>
      <c r="B81" s="302"/>
      <c r="C81" s="302"/>
      <c r="D81" s="302"/>
      <c r="E81" s="302"/>
      <c r="F81" s="86" t="s">
        <v>201</v>
      </c>
      <c r="G81" s="87" t="s">
        <v>7</v>
      </c>
    </row>
    <row r="82" spans="1:7">
      <c r="A82" s="88" t="s">
        <v>203</v>
      </c>
      <c r="B82" s="89" t="s">
        <v>204</v>
      </c>
      <c r="C82" s="89"/>
      <c r="D82" s="90"/>
      <c r="E82" s="90"/>
      <c r="F82" s="90">
        <f>VLOOKUP(B77,'MATER AKUN'!$A$7:$D$71,3,FALSE)</f>
        <v>166380000</v>
      </c>
      <c r="G82" s="91"/>
    </row>
    <row r="83" spans="1:7">
      <c r="A83" s="88" t="s">
        <v>205</v>
      </c>
      <c r="B83" s="101" t="s">
        <v>206</v>
      </c>
      <c r="C83" s="101"/>
      <c r="D83" s="93">
        <f ca="1">SUMIF('JURNAL UMUM'!$A$9:$G$120,B77,'JURNAL UMUM'!$F$9:$F$120)</f>
        <v>23475000</v>
      </c>
      <c r="E83" s="93">
        <f ca="1">SUMIF('JURNAL UMUM'!$A$9:$G$120,B77,'JURNAL UMUM'!$G$9:$G$120)</f>
        <v>118390000</v>
      </c>
      <c r="F83" s="103">
        <f ca="1">F82+D83-E83</f>
        <v>71465000</v>
      </c>
      <c r="G83" s="91"/>
    </row>
    <row r="84" spans="1:7">
      <c r="A84" s="102"/>
      <c r="B84" s="98"/>
      <c r="C84" s="98"/>
      <c r="D84" s="99"/>
      <c r="E84" s="99"/>
      <c r="F84" s="99"/>
      <c r="G84" s="100"/>
    </row>
    <row r="87" spans="1:7">
      <c r="A87" s="76" t="s">
        <v>198</v>
      </c>
      <c r="B87" s="77">
        <v>11601</v>
      </c>
      <c r="C87" s="78"/>
      <c r="D87" s="78"/>
      <c r="E87" s="78"/>
      <c r="F87" s="78"/>
      <c r="G87" s="79"/>
    </row>
    <row r="88" spans="1:7">
      <c r="A88" s="80" t="s">
        <v>5</v>
      </c>
      <c r="B88" s="30" t="str">
        <f>VLOOKUP(B87,'MATER AKUN'!$A$7:$B$71,2,FALSE)</f>
        <v>PPN Masukan</v>
      </c>
      <c r="C88" s="28"/>
      <c r="D88" s="28"/>
      <c r="E88" s="28"/>
      <c r="F88" s="28"/>
      <c r="G88" s="81"/>
    </row>
    <row r="89" spans="1:7">
      <c r="A89" s="82"/>
      <c r="B89" s="28"/>
      <c r="C89" s="28"/>
      <c r="D89" s="28"/>
      <c r="E89" s="28"/>
      <c r="F89" s="28"/>
      <c r="G89" s="81"/>
    </row>
    <row r="90" spans="1:7">
      <c r="A90" s="300" t="s">
        <v>134</v>
      </c>
      <c r="B90" s="302" t="s">
        <v>199</v>
      </c>
      <c r="C90" s="302" t="s">
        <v>200</v>
      </c>
      <c r="D90" s="302" t="s">
        <v>201</v>
      </c>
      <c r="E90" s="302" t="s">
        <v>7</v>
      </c>
      <c r="F90" s="340" t="s">
        <v>202</v>
      </c>
      <c r="G90" s="341"/>
    </row>
    <row r="91" spans="1:7">
      <c r="A91" s="300"/>
      <c r="B91" s="302"/>
      <c r="C91" s="302"/>
      <c r="D91" s="302"/>
      <c r="E91" s="302"/>
      <c r="F91" s="86" t="s">
        <v>201</v>
      </c>
      <c r="G91" s="87" t="s">
        <v>7</v>
      </c>
    </row>
    <row r="92" spans="1:7">
      <c r="A92" s="88" t="s">
        <v>203</v>
      </c>
      <c r="B92" s="89" t="s">
        <v>204</v>
      </c>
      <c r="C92" s="89"/>
      <c r="D92" s="90"/>
      <c r="E92" s="90"/>
      <c r="F92" s="90">
        <f>VLOOKUP(B87,'MATER AKUN'!$A$7:$D$71,3,FALSE)</f>
        <v>0</v>
      </c>
      <c r="G92" s="91"/>
    </row>
    <row r="93" spans="1:7">
      <c r="A93" s="88" t="s">
        <v>205</v>
      </c>
      <c r="B93" s="101" t="s">
        <v>206</v>
      </c>
      <c r="C93" s="101"/>
      <c r="D93" s="93">
        <f ca="1">SUMIF('JURNAL UMUM'!$A$11:$G$108,$B$87,'JURNAL UMUM'!$F$11:$F$108)</f>
        <v>2425000</v>
      </c>
      <c r="E93" s="93">
        <f ca="1">SUMIF('JURNAL UMUM'!$A$11:$G$108,$B$87,'JURNAL UMUM'!$G$11:$G$108)</f>
        <v>32500</v>
      </c>
      <c r="F93" s="103">
        <f ca="1">F92+D93-E93</f>
        <v>2392500</v>
      </c>
      <c r="G93" s="91"/>
    </row>
    <row r="94" spans="1:7">
      <c r="A94" s="102"/>
      <c r="B94" s="98"/>
      <c r="C94" s="98"/>
      <c r="D94" s="99"/>
      <c r="E94" s="99"/>
      <c r="F94" s="99"/>
      <c r="G94" s="100"/>
    </row>
    <row r="97" spans="1:7">
      <c r="A97" s="76" t="s">
        <v>198</v>
      </c>
      <c r="B97" s="77">
        <v>11602</v>
      </c>
      <c r="C97" s="78"/>
      <c r="D97" s="78"/>
      <c r="E97" s="78"/>
      <c r="F97" s="78"/>
      <c r="G97" s="79"/>
    </row>
    <row r="98" spans="1:7">
      <c r="A98" s="80" t="s">
        <v>5</v>
      </c>
      <c r="B98" s="30" t="str">
        <f>VLOOKUP(B97,'MATER AKUN'!$A$7:$B$71,2,FALSE)</f>
        <v>Uang muka pembelian</v>
      </c>
      <c r="C98" s="28"/>
      <c r="D98" s="28"/>
      <c r="E98" s="28"/>
      <c r="F98" s="28"/>
      <c r="G98" s="81"/>
    </row>
    <row r="99" spans="1:7">
      <c r="A99" s="82"/>
      <c r="B99" s="28"/>
      <c r="C99" s="28"/>
      <c r="D99" s="28"/>
      <c r="E99" s="28"/>
      <c r="F99" s="28"/>
      <c r="G99" s="81"/>
    </row>
    <row r="100" spans="1:7">
      <c r="A100" s="300" t="s">
        <v>134</v>
      </c>
      <c r="B100" s="302" t="s">
        <v>199</v>
      </c>
      <c r="C100" s="302" t="s">
        <v>200</v>
      </c>
      <c r="D100" s="302" t="s">
        <v>201</v>
      </c>
      <c r="E100" s="302" t="s">
        <v>7</v>
      </c>
      <c r="F100" s="340" t="s">
        <v>202</v>
      </c>
      <c r="G100" s="341"/>
    </row>
    <row r="101" spans="1:7">
      <c r="A101" s="300"/>
      <c r="B101" s="302"/>
      <c r="C101" s="302"/>
      <c r="D101" s="302"/>
      <c r="E101" s="302"/>
      <c r="F101" s="86" t="s">
        <v>201</v>
      </c>
      <c r="G101" s="87" t="s">
        <v>7</v>
      </c>
    </row>
    <row r="102" spans="1:7">
      <c r="A102" s="88" t="s">
        <v>203</v>
      </c>
      <c r="B102" s="89" t="s">
        <v>204</v>
      </c>
      <c r="C102" s="89"/>
      <c r="D102" s="90"/>
      <c r="E102" s="90"/>
      <c r="F102" s="90">
        <f>VLOOKUP(B97,'MATER AKUN'!$A$7:$D$71,3,FALSE)</f>
        <v>0</v>
      </c>
      <c r="G102" s="91"/>
    </row>
    <row r="103" spans="1:7">
      <c r="A103" s="88" t="s">
        <v>205</v>
      </c>
      <c r="B103" s="101" t="s">
        <v>206</v>
      </c>
      <c r="C103" s="101"/>
      <c r="D103" s="93">
        <f ca="1">SUMIF('JURNAL UMUM'!$A$11:$G$108,$B$97,'JURNAL UMUM'!$F$11:$F$108)</f>
        <v>0</v>
      </c>
      <c r="E103" s="93">
        <f ca="1">SUMIF('JURNAL UMUM'!$A$11:$G$108,$B$97,'JURNAL UMUM'!$G$11:$G$108)</f>
        <v>0</v>
      </c>
      <c r="F103" s="103">
        <f ca="1">F102+D103-E103</f>
        <v>0</v>
      </c>
      <c r="G103" s="91"/>
    </row>
    <row r="104" spans="1:7">
      <c r="A104" s="102"/>
      <c r="B104" s="98"/>
      <c r="C104" s="98"/>
      <c r="D104" s="99"/>
      <c r="E104" s="99"/>
      <c r="F104" s="99"/>
      <c r="G104" s="100"/>
    </row>
    <row r="107" spans="1:7">
      <c r="A107" s="76" t="s">
        <v>198</v>
      </c>
      <c r="B107" s="77">
        <v>12101</v>
      </c>
      <c r="C107" s="78"/>
      <c r="D107" s="78"/>
      <c r="E107" s="78"/>
      <c r="F107" s="78"/>
      <c r="G107" s="79"/>
    </row>
    <row r="108" spans="1:7">
      <c r="A108" s="80" t="s">
        <v>5</v>
      </c>
      <c r="B108" s="30" t="str">
        <f>VLOOKUP(B107,'MATER AKUN'!$A$7:$B$71,2,FALSE)</f>
        <v>Peralatan Kantor</v>
      </c>
      <c r="C108" s="28"/>
      <c r="D108" s="28"/>
      <c r="E108" s="28"/>
      <c r="F108" s="28"/>
      <c r="G108" s="81"/>
    </row>
    <row r="109" spans="1:7">
      <c r="A109" s="82"/>
      <c r="B109" s="28"/>
      <c r="C109" s="28"/>
      <c r="D109" s="28"/>
      <c r="E109" s="28"/>
      <c r="F109" s="28"/>
      <c r="G109" s="81"/>
    </row>
    <row r="110" spans="1:7">
      <c r="A110" s="300" t="s">
        <v>134</v>
      </c>
      <c r="B110" s="302" t="s">
        <v>199</v>
      </c>
      <c r="C110" s="302" t="s">
        <v>200</v>
      </c>
      <c r="D110" s="302" t="s">
        <v>201</v>
      </c>
      <c r="E110" s="302" t="s">
        <v>7</v>
      </c>
      <c r="F110" s="340" t="s">
        <v>202</v>
      </c>
      <c r="G110" s="341"/>
    </row>
    <row r="111" spans="1:7">
      <c r="A111" s="300"/>
      <c r="B111" s="302"/>
      <c r="C111" s="302"/>
      <c r="D111" s="302"/>
      <c r="E111" s="302"/>
      <c r="F111" s="86" t="s">
        <v>201</v>
      </c>
      <c r="G111" s="87" t="s">
        <v>7</v>
      </c>
    </row>
    <row r="112" spans="1:7">
      <c r="A112" s="88" t="s">
        <v>203</v>
      </c>
      <c r="B112" s="89" t="s">
        <v>204</v>
      </c>
      <c r="C112" s="89"/>
      <c r="D112" s="90"/>
      <c r="E112" s="90"/>
      <c r="F112" s="90">
        <f>VLOOKUP(B107,'MATER AKUN'!$A$7:$D$71,3,FALSE)</f>
        <v>25000000</v>
      </c>
      <c r="G112" s="91"/>
    </row>
    <row r="113" spans="1:7">
      <c r="A113" s="88" t="s">
        <v>205</v>
      </c>
      <c r="B113" s="101" t="s">
        <v>206</v>
      </c>
      <c r="C113" s="101"/>
      <c r="D113" s="93">
        <f ca="1">SUMIF('JURNAL UMUM'!$A$11:$G$108,$B$107,'JURNAL UMUM'!$F$11:$F$108)</f>
        <v>0</v>
      </c>
      <c r="E113" s="93">
        <f ca="1">SUMIF('JURNAL UMUM'!$A$11:$G$108,$B$1042,'JURNAL UMUM'!$G$11:$G$108)</f>
        <v>0</v>
      </c>
      <c r="F113" s="103">
        <f ca="1">F112+D113-E113</f>
        <v>25000000</v>
      </c>
      <c r="G113" s="91"/>
    </row>
    <row r="114" spans="1:7">
      <c r="A114" s="102"/>
      <c r="B114" s="98"/>
      <c r="C114" s="98"/>
      <c r="D114" s="99"/>
      <c r="E114" s="99"/>
      <c r="F114" s="99"/>
      <c r="G114" s="100"/>
    </row>
    <row r="117" spans="1:7">
      <c r="A117" s="76" t="s">
        <v>198</v>
      </c>
      <c r="B117" s="77">
        <v>12102</v>
      </c>
      <c r="C117" s="78"/>
      <c r="D117" s="78"/>
      <c r="E117" s="78"/>
      <c r="F117" s="78"/>
      <c r="G117" s="79"/>
    </row>
    <row r="118" spans="1:7">
      <c r="A118" s="80" t="s">
        <v>5</v>
      </c>
      <c r="B118" s="30" t="str">
        <f>VLOOKUP(B117,'MATER AKUN'!$A$7:$B$71,2,FALSE)</f>
        <v>Akm. Penyusutan Peralatan Kantor</v>
      </c>
      <c r="C118" s="28"/>
      <c r="D118" s="28"/>
      <c r="E118" s="28"/>
      <c r="F118" s="28"/>
      <c r="G118" s="81"/>
    </row>
    <row r="119" spans="1:7">
      <c r="A119" s="82"/>
      <c r="B119" s="28"/>
      <c r="C119" s="28"/>
      <c r="D119" s="28"/>
      <c r="E119" s="28"/>
      <c r="F119" s="28"/>
      <c r="G119" s="81"/>
    </row>
    <row r="120" spans="1:7">
      <c r="A120" s="300" t="s">
        <v>134</v>
      </c>
      <c r="B120" s="302" t="s">
        <v>199</v>
      </c>
      <c r="C120" s="302" t="s">
        <v>200</v>
      </c>
      <c r="D120" s="302" t="s">
        <v>201</v>
      </c>
      <c r="E120" s="302" t="s">
        <v>7</v>
      </c>
      <c r="F120" s="340" t="s">
        <v>202</v>
      </c>
      <c r="G120" s="341"/>
    </row>
    <row r="121" spans="1:7">
      <c r="A121" s="300"/>
      <c r="B121" s="302"/>
      <c r="C121" s="302"/>
      <c r="D121" s="302"/>
      <c r="E121" s="302"/>
      <c r="F121" s="86" t="s">
        <v>201</v>
      </c>
      <c r="G121" s="87" t="s">
        <v>7</v>
      </c>
    </row>
    <row r="122" spans="1:7">
      <c r="A122" s="88" t="s">
        <v>203</v>
      </c>
      <c r="B122" s="89" t="s">
        <v>204</v>
      </c>
      <c r="C122" s="89"/>
      <c r="D122" s="90"/>
      <c r="E122" s="90"/>
      <c r="G122" s="90">
        <f>VLOOKUP(B117,'MATER AKUN'!$A$7:$D$71,4,FALSE)</f>
        <v>7500000</v>
      </c>
    </row>
    <row r="123" spans="1:7">
      <c r="A123" s="88" t="s">
        <v>205</v>
      </c>
      <c r="B123" s="101" t="s">
        <v>206</v>
      </c>
      <c r="C123" s="101"/>
      <c r="D123" s="93">
        <f ca="1">SUMIF('JURNAL UMUM'!$A$11:$G$108,$B$117,'JURNAL UMUM'!$F$11:$F$108)</f>
        <v>0</v>
      </c>
      <c r="E123" s="93">
        <f ca="1">SUMIF('JURNAL UMUM'!$A$9:$G$119,B117,'JURNAL UMUM'!$G$9:$G$120)</f>
        <v>400000</v>
      </c>
      <c r="F123" s="103"/>
      <c r="G123" s="91">
        <f ca="1">G122+E123-D123</f>
        <v>7900000</v>
      </c>
    </row>
    <row r="124" spans="1:7">
      <c r="A124" s="102"/>
      <c r="B124" s="98"/>
      <c r="C124" s="98"/>
      <c r="D124" s="99"/>
      <c r="E124" s="99"/>
      <c r="F124" s="99"/>
      <c r="G124" s="100"/>
    </row>
    <row r="127" spans="1:7">
      <c r="A127" s="76" t="s">
        <v>198</v>
      </c>
      <c r="B127" s="77">
        <v>12201</v>
      </c>
      <c r="C127" s="78"/>
      <c r="D127" s="78"/>
      <c r="E127" s="78"/>
      <c r="F127" s="78"/>
      <c r="G127" s="79"/>
    </row>
    <row r="128" spans="1:7">
      <c r="A128" s="80" t="s">
        <v>5</v>
      </c>
      <c r="B128" s="30" t="str">
        <f>VLOOKUP(B127,'MATER AKUN'!$A$7:$B$71,2,FALSE)</f>
        <v>Kendaraan</v>
      </c>
      <c r="C128" s="28"/>
      <c r="D128" s="28"/>
      <c r="E128" s="28"/>
      <c r="F128" s="28"/>
      <c r="G128" s="81"/>
    </row>
    <row r="129" spans="1:7">
      <c r="A129" s="82"/>
      <c r="B129" s="28"/>
      <c r="C129" s="28"/>
      <c r="D129" s="28"/>
      <c r="E129" s="28"/>
      <c r="F129" s="28"/>
      <c r="G129" s="81"/>
    </row>
    <row r="130" spans="1:7">
      <c r="A130" s="300" t="s">
        <v>134</v>
      </c>
      <c r="B130" s="302" t="s">
        <v>199</v>
      </c>
      <c r="C130" s="302" t="s">
        <v>200</v>
      </c>
      <c r="D130" s="302" t="s">
        <v>201</v>
      </c>
      <c r="E130" s="302" t="s">
        <v>7</v>
      </c>
      <c r="F130" s="340" t="s">
        <v>202</v>
      </c>
      <c r="G130" s="341"/>
    </row>
    <row r="131" spans="1:7">
      <c r="A131" s="300"/>
      <c r="B131" s="302"/>
      <c r="C131" s="302"/>
      <c r="D131" s="302"/>
      <c r="E131" s="302"/>
      <c r="F131" s="86" t="s">
        <v>201</v>
      </c>
      <c r="G131" s="87" t="s">
        <v>7</v>
      </c>
    </row>
    <row r="132" spans="1:7">
      <c r="A132" s="88" t="s">
        <v>203</v>
      </c>
      <c r="B132" s="89" t="s">
        <v>204</v>
      </c>
      <c r="C132" s="89"/>
      <c r="D132" s="90"/>
      <c r="E132" s="90"/>
      <c r="F132" s="90">
        <f>VLOOKUP(B127,'MATER AKUN'!$A$7:$D$71,3,FALSE)</f>
        <v>45000000</v>
      </c>
      <c r="G132" s="91"/>
    </row>
    <row r="133" spans="1:7">
      <c r="A133" s="88" t="s">
        <v>205</v>
      </c>
      <c r="B133" s="101" t="s">
        <v>206</v>
      </c>
      <c r="C133" s="101"/>
      <c r="D133" s="93">
        <f ca="1">SUMIF('JURNAL UMUM'!$A$11:$G$108,B127,'JURNAL UMUM'!$F$11:$F$108)</f>
        <v>11500000</v>
      </c>
      <c r="E133" s="93">
        <f ca="1">SUMIF('JURNAL UMUM'!$A$11:$G$108,B127,'JURNAL UMUM'!$G$11:$G$108)</f>
        <v>6000000</v>
      </c>
      <c r="F133" s="103">
        <f ca="1">F132+D133-E133</f>
        <v>50500000</v>
      </c>
      <c r="G133" s="91"/>
    </row>
    <row r="134" spans="1:7">
      <c r="A134" s="102"/>
      <c r="B134" s="98"/>
      <c r="C134" s="98"/>
      <c r="D134" s="99"/>
      <c r="E134" s="99"/>
      <c r="F134" s="99"/>
      <c r="G134" s="100"/>
    </row>
    <row r="137" spans="1:7">
      <c r="A137" s="76" t="s">
        <v>198</v>
      </c>
      <c r="B137" s="77">
        <v>12202</v>
      </c>
      <c r="C137" s="78"/>
      <c r="D137" s="78"/>
      <c r="E137" s="78"/>
      <c r="F137" s="78"/>
      <c r="G137" s="79"/>
    </row>
    <row r="138" spans="1:7">
      <c r="A138" s="80" t="s">
        <v>5</v>
      </c>
      <c r="B138" s="30" t="str">
        <f>VLOOKUP(B137,'MATER AKUN'!$A$7:$B$71,2,FALSE)</f>
        <v>Akm. Penyusutan kendaraan</v>
      </c>
      <c r="C138" s="28"/>
      <c r="D138" s="28"/>
      <c r="E138" s="28"/>
      <c r="F138" s="28"/>
      <c r="G138" s="81"/>
    </row>
    <row r="139" spans="1:7">
      <c r="A139" s="82"/>
      <c r="B139" s="28"/>
      <c r="C139" s="28"/>
      <c r="D139" s="28"/>
      <c r="E139" s="28"/>
      <c r="F139" s="28"/>
      <c r="G139" s="81"/>
    </row>
    <row r="140" spans="1:7">
      <c r="A140" s="300" t="s">
        <v>134</v>
      </c>
      <c r="B140" s="302" t="s">
        <v>199</v>
      </c>
      <c r="C140" s="302" t="s">
        <v>200</v>
      </c>
      <c r="D140" s="302" t="s">
        <v>201</v>
      </c>
      <c r="E140" s="302" t="s">
        <v>7</v>
      </c>
      <c r="F140" s="340" t="s">
        <v>202</v>
      </c>
      <c r="G140" s="341"/>
    </row>
    <row r="141" spans="1:7">
      <c r="A141" s="300"/>
      <c r="B141" s="302"/>
      <c r="C141" s="302"/>
      <c r="D141" s="302"/>
      <c r="E141" s="302"/>
      <c r="F141" s="86" t="s">
        <v>201</v>
      </c>
      <c r="G141" s="87" t="s">
        <v>7</v>
      </c>
    </row>
    <row r="142" spans="1:7">
      <c r="A142" s="88" t="s">
        <v>203</v>
      </c>
      <c r="B142" s="89" t="s">
        <v>204</v>
      </c>
      <c r="C142" s="89"/>
      <c r="D142" s="90"/>
      <c r="E142" s="90"/>
      <c r="G142" s="90">
        <f>VLOOKUP(B137,'MATER AKUN'!$A$7:$D$71,4,FALSE)</f>
        <v>25000000</v>
      </c>
    </row>
    <row r="143" spans="1:7">
      <c r="A143" s="88" t="s">
        <v>205</v>
      </c>
      <c r="B143" s="101" t="s">
        <v>206</v>
      </c>
      <c r="C143" s="101"/>
      <c r="D143" s="93">
        <f ca="1">SUMIF('JURNAL UMUM'!$A$11:$G$108,B137,'JURNAL UMUM'!$F$11:$F$108)</f>
        <v>1500000</v>
      </c>
      <c r="E143" s="93">
        <f ca="1">SUMIF('JURNAL UMUM'!$A$9:$G$119,B137,'JURNAL UMUM'!$G$9:$G$120)</f>
        <v>500000</v>
      </c>
      <c r="F143" s="103"/>
      <c r="G143" s="103">
        <f ca="1">G142-D143</f>
        <v>23500000</v>
      </c>
    </row>
    <row r="144" spans="1:7">
      <c r="A144" s="102"/>
      <c r="B144" s="98"/>
      <c r="C144" s="98"/>
      <c r="D144" s="99"/>
      <c r="E144" s="99"/>
      <c r="F144" s="99"/>
      <c r="G144" s="100"/>
    </row>
    <row r="147" spans="1:7">
      <c r="A147" s="104" t="s">
        <v>207</v>
      </c>
      <c r="B147" s="105">
        <v>21100</v>
      </c>
      <c r="C147" s="106"/>
      <c r="D147" s="106"/>
      <c r="E147" s="106"/>
      <c r="F147" s="106"/>
      <c r="G147" s="107"/>
    </row>
    <row r="148" spans="1:7">
      <c r="A148" s="108" t="s">
        <v>208</v>
      </c>
      <c r="B148" s="109" t="str">
        <f>VLOOKUP(B147,'MATER AKUN'!$A$7:$B$71,2,FALSE)</f>
        <v>Hutang usaha</v>
      </c>
      <c r="C148" s="110"/>
      <c r="D148" s="111"/>
      <c r="E148" s="111"/>
      <c r="F148" s="111"/>
      <c r="G148" s="112"/>
    </row>
    <row r="149" spans="1:7">
      <c r="A149" s="300" t="s">
        <v>173</v>
      </c>
      <c r="B149" s="302" t="s">
        <v>174</v>
      </c>
      <c r="C149" s="302" t="s">
        <v>175</v>
      </c>
      <c r="D149" s="302" t="s">
        <v>176</v>
      </c>
      <c r="E149" s="302" t="s">
        <v>177</v>
      </c>
      <c r="F149" s="340" t="s">
        <v>178</v>
      </c>
      <c r="G149" s="341"/>
    </row>
    <row r="150" spans="1:7">
      <c r="A150" s="300"/>
      <c r="B150" s="302"/>
      <c r="C150" s="302"/>
      <c r="D150" s="302"/>
      <c r="E150" s="302"/>
      <c r="F150" s="84" t="s">
        <v>176</v>
      </c>
      <c r="G150" s="85" t="s">
        <v>177</v>
      </c>
    </row>
    <row r="151" spans="1:7">
      <c r="A151" s="88" t="s">
        <v>203</v>
      </c>
      <c r="B151" s="10" t="s">
        <v>179</v>
      </c>
      <c r="C151" s="10"/>
      <c r="D151" s="69"/>
      <c r="E151" s="69"/>
      <c r="F151" s="69"/>
      <c r="G151" s="90">
        <f>VLOOKUP(B147,'MATER AKUN'!$A$7:$D$71,4,FALSE)</f>
        <v>75000000</v>
      </c>
    </row>
    <row r="152" spans="1:7">
      <c r="A152" s="88" t="s">
        <v>205</v>
      </c>
      <c r="B152" s="89" t="s">
        <v>206</v>
      </c>
      <c r="C152" s="89"/>
      <c r="D152" s="113">
        <f ca="1">SUMIF('JURNAL UMUM'!$A$11:$G$108,B147,'JURNAL UMUM'!$F$11:$F$108)</f>
        <v>46357500</v>
      </c>
      <c r="E152" s="113">
        <f ca="1">SUMIF('JURNAL UMUM'!$A$11:$G$108,B145,'JURNAL UMUM'!$G$11:$G$108)</f>
        <v>0</v>
      </c>
      <c r="F152" s="103"/>
      <c r="G152" s="91">
        <f ca="1">G151-D152</f>
        <v>28642500</v>
      </c>
    </row>
    <row r="153" spans="1:7">
      <c r="A153" s="114"/>
      <c r="B153" s="115"/>
      <c r="C153" s="115"/>
      <c r="D153" s="116"/>
      <c r="E153" s="116"/>
      <c r="F153" s="116"/>
      <c r="G153" s="117"/>
    </row>
    <row r="154" spans="1:7">
      <c r="A154" s="63"/>
      <c r="B154" s="63"/>
      <c r="C154" s="63"/>
      <c r="D154" s="118"/>
      <c r="E154" s="118"/>
      <c r="F154" s="118"/>
      <c r="G154" s="118"/>
    </row>
    <row r="155" spans="1:7">
      <c r="A155" s="63"/>
      <c r="B155" s="63"/>
      <c r="C155" s="63"/>
      <c r="D155" s="63"/>
      <c r="E155" s="63"/>
      <c r="F155" s="63"/>
      <c r="G155" s="63"/>
    </row>
    <row r="156" spans="1:7">
      <c r="A156" s="119" t="s">
        <v>207</v>
      </c>
      <c r="B156" s="77">
        <v>21200</v>
      </c>
      <c r="C156" s="78"/>
      <c r="D156" s="78"/>
      <c r="E156" s="78"/>
      <c r="F156" s="78"/>
      <c r="G156" s="79"/>
    </row>
    <row r="157" spans="1:7">
      <c r="A157" s="120" t="s">
        <v>208</v>
      </c>
      <c r="B157" s="30" t="str">
        <f>VLOOKUP(B156,'MATER AKUN'!$A$7:$B$71,2,FALSE)</f>
        <v>Pendapatan Diterima dimuka- jasa kirim</v>
      </c>
      <c r="C157" s="121"/>
      <c r="D157" s="28"/>
      <c r="E157" s="28"/>
      <c r="F157" s="28"/>
      <c r="G157" s="81"/>
    </row>
    <row r="158" spans="1:7">
      <c r="A158" s="300" t="s">
        <v>173</v>
      </c>
      <c r="B158" s="302" t="s">
        <v>174</v>
      </c>
      <c r="C158" s="302" t="s">
        <v>175</v>
      </c>
      <c r="D158" s="302" t="s">
        <v>176</v>
      </c>
      <c r="E158" s="302" t="s">
        <v>177</v>
      </c>
      <c r="F158" s="340" t="s">
        <v>178</v>
      </c>
      <c r="G158" s="341"/>
    </row>
    <row r="159" spans="1:7">
      <c r="A159" s="300"/>
      <c r="B159" s="302"/>
      <c r="C159" s="302"/>
      <c r="D159" s="302"/>
      <c r="E159" s="302"/>
      <c r="F159" s="84" t="s">
        <v>176</v>
      </c>
      <c r="G159" s="85" t="s">
        <v>177</v>
      </c>
    </row>
    <row r="160" spans="1:7">
      <c r="A160" s="88" t="s">
        <v>203</v>
      </c>
      <c r="B160" s="10" t="s">
        <v>179</v>
      </c>
      <c r="C160" s="10"/>
      <c r="D160" s="69"/>
      <c r="E160" s="69"/>
      <c r="F160" s="69"/>
      <c r="G160" s="91">
        <f>VLOOKUP(B156,'MATER AKUN'!$A$7:$D$71,4,FALSE)</f>
        <v>0</v>
      </c>
    </row>
    <row r="161" spans="1:7">
      <c r="A161" s="88" t="s">
        <v>205</v>
      </c>
      <c r="B161" s="101" t="s">
        <v>206</v>
      </c>
      <c r="C161" s="101"/>
      <c r="D161" s="93">
        <f ca="1">SUMIF('JURNAL UMUM'!$A$11:$G$108,B156,'JURNAL UMUM'!$F$11:$F$108)</f>
        <v>0</v>
      </c>
      <c r="E161" s="93">
        <f ca="1">SUMIF('JURNAL UMUM'!$A$11:$G$108,B156,'JURNAL UMUM'!$G$11:$G$108)</f>
        <v>200000</v>
      </c>
      <c r="F161" s="103"/>
      <c r="G161" s="91">
        <f ca="1">G160+E161</f>
        <v>200000</v>
      </c>
    </row>
    <row r="162" spans="1:7">
      <c r="A162" s="114"/>
      <c r="B162" s="115"/>
      <c r="C162" s="115"/>
      <c r="D162" s="116"/>
      <c r="E162" s="116"/>
      <c r="F162" s="116"/>
      <c r="G162" s="117"/>
    </row>
    <row r="163" spans="1:7">
      <c r="A163" s="63"/>
      <c r="B163" s="63"/>
      <c r="C163" s="63"/>
      <c r="D163" s="118"/>
      <c r="E163" s="118"/>
      <c r="F163" s="118"/>
      <c r="G163" s="118"/>
    </row>
    <row r="164" spans="1:7">
      <c r="A164" s="63"/>
      <c r="B164" s="63"/>
      <c r="C164" s="63"/>
      <c r="D164" s="63"/>
      <c r="E164" s="63"/>
      <c r="F164" s="63"/>
      <c r="G164" s="63"/>
    </row>
    <row r="165" spans="1:7">
      <c r="A165" s="119" t="s">
        <v>207</v>
      </c>
      <c r="B165" s="77">
        <v>21300</v>
      </c>
      <c r="C165" s="78"/>
      <c r="D165" s="78"/>
      <c r="E165" s="78"/>
      <c r="F165" s="78"/>
      <c r="G165" s="79"/>
    </row>
    <row r="166" spans="1:7">
      <c r="A166" s="120" t="s">
        <v>208</v>
      </c>
      <c r="B166" s="30" t="str">
        <f>VLOOKUP(B165,'MATER AKUN'!$A$7:$B$71,2,FALSE)</f>
        <v>hutang bunga</v>
      </c>
      <c r="C166" s="121"/>
      <c r="D166" s="28"/>
      <c r="E166" s="28"/>
      <c r="F166" s="28"/>
      <c r="G166" s="81"/>
    </row>
    <row r="167" spans="1:7">
      <c r="A167" s="300" t="s">
        <v>173</v>
      </c>
      <c r="B167" s="302" t="s">
        <v>174</v>
      </c>
      <c r="C167" s="302" t="s">
        <v>175</v>
      </c>
      <c r="D167" s="302" t="s">
        <v>176</v>
      </c>
      <c r="E167" s="302" t="s">
        <v>177</v>
      </c>
      <c r="F167" s="340" t="s">
        <v>178</v>
      </c>
      <c r="G167" s="341"/>
    </row>
    <row r="168" spans="1:7">
      <c r="A168" s="300"/>
      <c r="B168" s="302"/>
      <c r="C168" s="302"/>
      <c r="D168" s="302"/>
      <c r="E168" s="302"/>
      <c r="F168" s="84" t="s">
        <v>176</v>
      </c>
      <c r="G168" s="85" t="s">
        <v>177</v>
      </c>
    </row>
    <row r="169" spans="1:7">
      <c r="A169" s="88" t="s">
        <v>203</v>
      </c>
      <c r="B169" s="10" t="s">
        <v>179</v>
      </c>
      <c r="C169" s="10"/>
      <c r="D169" s="69"/>
      <c r="E169" s="69"/>
      <c r="F169" s="69"/>
      <c r="G169" s="91">
        <f>VLOOKUP(B165,'MATER AKUN'!$A$7:$D$71,4,FALSE)</f>
        <v>0</v>
      </c>
    </row>
    <row r="170" spans="1:7">
      <c r="A170" s="88" t="s">
        <v>205</v>
      </c>
      <c r="B170" s="101" t="s">
        <v>206</v>
      </c>
      <c r="C170" s="101"/>
      <c r="D170" s="93">
        <f ca="1">SUMIF('JURNAL UMUM'!$A$11:$G$108,B165,'JURNAL UMUM'!$F$11:$F$108)</f>
        <v>0</v>
      </c>
      <c r="E170" s="93">
        <f ca="1">SUMIF('JURNAL UMUM'!$A$9:$G$120,B165,'JURNAL UMUM'!$G$9:$G$120)</f>
        <v>1500000</v>
      </c>
      <c r="F170" s="103"/>
      <c r="G170" s="91">
        <f ca="1">G169-D170+E170</f>
        <v>1500000</v>
      </c>
    </row>
    <row r="171" spans="1:7">
      <c r="A171" s="114"/>
      <c r="B171" s="115"/>
      <c r="C171" s="115"/>
      <c r="D171" s="116"/>
      <c r="E171" s="116"/>
      <c r="F171" s="116"/>
      <c r="G171" s="117"/>
    </row>
    <row r="172" spans="1:7">
      <c r="A172" s="63"/>
      <c r="B172" s="63"/>
      <c r="C172" s="63"/>
      <c r="D172" s="118"/>
      <c r="E172" s="118"/>
      <c r="F172" s="118"/>
      <c r="G172" s="118"/>
    </row>
    <row r="173" spans="1:7">
      <c r="A173" s="63"/>
      <c r="B173" s="63"/>
      <c r="C173" s="63"/>
      <c r="D173" s="63"/>
      <c r="E173" s="63"/>
      <c r="F173" s="63"/>
      <c r="G173" s="63"/>
    </row>
    <row r="174" spans="1:7">
      <c r="A174" s="119" t="s">
        <v>207</v>
      </c>
      <c r="B174" s="77">
        <v>21400</v>
      </c>
      <c r="C174" s="78"/>
      <c r="D174" s="78"/>
      <c r="E174" s="78"/>
      <c r="F174" s="78"/>
      <c r="G174" s="79"/>
    </row>
    <row r="175" spans="1:7">
      <c r="A175" s="120" t="s">
        <v>208</v>
      </c>
      <c r="B175" s="30" t="str">
        <f>VLOOKUP(B174,'MATER AKUN'!$A$7:$B$71,2,FALSE)</f>
        <v>hutang pajak</v>
      </c>
      <c r="C175" s="121"/>
      <c r="D175" s="28"/>
      <c r="E175" s="28"/>
      <c r="F175" s="28"/>
      <c r="G175" s="81"/>
    </row>
    <row r="176" spans="1:7">
      <c r="A176" s="300" t="s">
        <v>173</v>
      </c>
      <c r="B176" s="302" t="s">
        <v>174</v>
      </c>
      <c r="C176" s="302" t="s">
        <v>175</v>
      </c>
      <c r="D176" s="302" t="s">
        <v>176</v>
      </c>
      <c r="E176" s="302" t="s">
        <v>177</v>
      </c>
      <c r="F176" s="340" t="s">
        <v>178</v>
      </c>
      <c r="G176" s="341"/>
    </row>
    <row r="177" spans="1:7">
      <c r="A177" s="300"/>
      <c r="B177" s="302"/>
      <c r="C177" s="302"/>
      <c r="D177" s="302"/>
      <c r="E177" s="302"/>
      <c r="F177" s="84" t="s">
        <v>176</v>
      </c>
      <c r="G177" s="85" t="s">
        <v>177</v>
      </c>
    </row>
    <row r="178" spans="1:7">
      <c r="A178" s="88" t="s">
        <v>203</v>
      </c>
      <c r="B178" s="10" t="s">
        <v>179</v>
      </c>
      <c r="C178" s="10"/>
      <c r="D178" s="69"/>
      <c r="E178" s="69"/>
      <c r="F178" s="69"/>
      <c r="G178" s="91">
        <f>VLOOKUP(B174,'MATER AKUN'!$A$7:$D$71,4,FALSE)</f>
        <v>0</v>
      </c>
    </row>
    <row r="179" spans="1:7">
      <c r="A179" s="88" t="s">
        <v>205</v>
      </c>
      <c r="B179" s="101" t="s">
        <v>206</v>
      </c>
      <c r="C179" s="101"/>
      <c r="D179" s="93">
        <f ca="1">SUMIF('JURNAL UMUM'!$A$11:$G$108,$B$174,'JURNAL UMUM'!$F$11:$F$108)</f>
        <v>0</v>
      </c>
      <c r="E179" s="93">
        <f ca="1">SUMIF('JURNAL UMUM'!$A$11:$G$108,$B$174,'JURNAL UMUM'!$G$11:$G$108)</f>
        <v>0</v>
      </c>
      <c r="F179" s="103"/>
      <c r="G179" s="91">
        <f ca="1">G178-D179+E179</f>
        <v>0</v>
      </c>
    </row>
    <row r="180" spans="1:7">
      <c r="A180" s="114"/>
      <c r="B180" s="115"/>
      <c r="C180" s="115"/>
      <c r="D180" s="116"/>
      <c r="E180" s="116"/>
      <c r="F180" s="116"/>
      <c r="G180" s="117"/>
    </row>
    <row r="181" spans="1:7">
      <c r="A181" s="63"/>
      <c r="B181" s="63"/>
      <c r="C181" s="63"/>
      <c r="D181" s="118"/>
      <c r="E181" s="118"/>
      <c r="F181" s="118"/>
      <c r="G181" s="118"/>
    </row>
    <row r="182" spans="1:7">
      <c r="A182" s="63"/>
      <c r="B182" s="63"/>
      <c r="C182" s="63"/>
      <c r="D182" s="63"/>
      <c r="E182" s="63"/>
      <c r="F182" s="63"/>
      <c r="G182" s="63"/>
    </row>
    <row r="183" spans="1:7">
      <c r="A183" s="122" t="s">
        <v>207</v>
      </c>
      <c r="B183" s="77">
        <v>21401</v>
      </c>
      <c r="C183" s="77"/>
      <c r="D183" s="78"/>
      <c r="E183" s="78"/>
      <c r="F183" s="78"/>
      <c r="G183" s="79"/>
    </row>
    <row r="184" spans="1:7">
      <c r="A184" s="82" t="s">
        <v>208</v>
      </c>
      <c r="B184" s="30" t="str">
        <f>VLOOKUP(B183,'MATER AKUN'!$A$7:$B$71,2,FALSE)</f>
        <v>utang PPh pasal 21</v>
      </c>
      <c r="C184" s="28"/>
      <c r="D184" s="28"/>
      <c r="E184" s="28"/>
      <c r="F184" s="28"/>
      <c r="G184" s="81"/>
    </row>
    <row r="185" spans="1:7">
      <c r="A185" s="300" t="s">
        <v>173</v>
      </c>
      <c r="B185" s="302" t="s">
        <v>174</v>
      </c>
      <c r="C185" s="302" t="s">
        <v>175</v>
      </c>
      <c r="D185" s="302" t="s">
        <v>176</v>
      </c>
      <c r="E185" s="302" t="s">
        <v>177</v>
      </c>
      <c r="F185" s="340" t="s">
        <v>178</v>
      </c>
      <c r="G185" s="341"/>
    </row>
    <row r="186" spans="1:7">
      <c r="A186" s="300"/>
      <c r="B186" s="302"/>
      <c r="C186" s="302"/>
      <c r="D186" s="302"/>
      <c r="E186" s="302"/>
      <c r="F186" s="84" t="s">
        <v>176</v>
      </c>
      <c r="G186" s="85" t="s">
        <v>177</v>
      </c>
    </row>
    <row r="187" spans="1:7">
      <c r="A187" s="88" t="s">
        <v>203</v>
      </c>
      <c r="B187" s="10" t="s">
        <v>179</v>
      </c>
      <c r="C187" s="10"/>
      <c r="D187" s="69"/>
      <c r="E187" s="69"/>
      <c r="F187" s="69"/>
      <c r="G187" s="91">
        <f>VLOOKUP(B183,'MATER AKUN'!$A$7:$D$71,4,FALSE)</f>
        <v>0</v>
      </c>
    </row>
    <row r="188" spans="1:7">
      <c r="A188" s="88" t="s">
        <v>205</v>
      </c>
      <c r="B188" s="101" t="s">
        <v>206</v>
      </c>
      <c r="C188" s="101"/>
      <c r="D188" s="93">
        <f ca="1">SUMIF('JURNAL UMUM'!$A$11:$G$108,$B$183,'JURNAL UMUM'!$F$11:$F$108)</f>
        <v>0</v>
      </c>
      <c r="E188" s="93">
        <f ca="1">SUMIF('JURNAL UMUM'!$A$11:$G$108,$B$183,'JURNAL UMUM'!$G$11:$G$108)</f>
        <v>725000</v>
      </c>
      <c r="F188" s="103"/>
      <c r="G188" s="91">
        <f ca="1">G187-D188+E188</f>
        <v>725000</v>
      </c>
    </row>
    <row r="189" spans="1:7">
      <c r="A189" s="114"/>
      <c r="B189" s="115"/>
      <c r="C189" s="115"/>
      <c r="D189" s="116"/>
      <c r="E189" s="116"/>
      <c r="F189" s="116"/>
      <c r="G189" s="117"/>
    </row>
    <row r="190" spans="1:7">
      <c r="A190" s="63"/>
      <c r="B190" s="63"/>
      <c r="C190" s="63"/>
      <c r="D190" s="118"/>
      <c r="E190" s="118"/>
      <c r="F190" s="118"/>
      <c r="G190" s="118"/>
    </row>
    <row r="191" spans="1:7">
      <c r="A191" s="63"/>
      <c r="B191" s="63"/>
      <c r="C191" s="63"/>
      <c r="D191" s="63"/>
      <c r="E191" s="63"/>
      <c r="F191" s="63"/>
      <c r="G191" s="63"/>
    </row>
    <row r="192" spans="1:7">
      <c r="A192" s="119" t="s">
        <v>207</v>
      </c>
      <c r="B192" s="77">
        <v>21402</v>
      </c>
      <c r="C192" s="77"/>
      <c r="D192" s="78"/>
      <c r="E192" s="78"/>
      <c r="F192" s="78"/>
      <c r="G192" s="79"/>
    </row>
    <row r="193" spans="1:7">
      <c r="A193" s="120" t="s">
        <v>208</v>
      </c>
      <c r="B193" s="30" t="str">
        <f>VLOOKUP(B192,'MATER AKUN'!$A$7:$B$71,2,FALSE)</f>
        <v>Utang PPh pasal 4</v>
      </c>
      <c r="C193" s="28"/>
      <c r="D193" s="28"/>
      <c r="E193" s="28"/>
      <c r="F193" s="28"/>
      <c r="G193" s="81"/>
    </row>
    <row r="194" spans="1:7">
      <c r="A194" s="300" t="s">
        <v>173</v>
      </c>
      <c r="B194" s="302" t="s">
        <v>174</v>
      </c>
      <c r="C194" s="302" t="s">
        <v>175</v>
      </c>
      <c r="D194" s="302" t="s">
        <v>176</v>
      </c>
      <c r="E194" s="302" t="s">
        <v>177</v>
      </c>
      <c r="F194" s="340" t="s">
        <v>178</v>
      </c>
      <c r="G194" s="341"/>
    </row>
    <row r="195" spans="1:7">
      <c r="A195" s="300"/>
      <c r="B195" s="302"/>
      <c r="C195" s="302"/>
      <c r="D195" s="302"/>
      <c r="E195" s="302"/>
      <c r="F195" s="84" t="s">
        <v>176</v>
      </c>
      <c r="G195" s="85" t="s">
        <v>177</v>
      </c>
    </row>
    <row r="196" spans="1:7">
      <c r="A196" s="88" t="s">
        <v>203</v>
      </c>
      <c r="B196" s="10" t="s">
        <v>179</v>
      </c>
      <c r="C196" s="10"/>
      <c r="D196" s="69"/>
      <c r="E196" s="69"/>
      <c r="F196" s="69"/>
      <c r="G196" s="91">
        <f>VLOOKUP(B192,'MATER AKUN'!$A$7:$D$71,4,FALSE)</f>
        <v>0</v>
      </c>
    </row>
    <row r="197" spans="1:7">
      <c r="A197" s="88" t="s">
        <v>205</v>
      </c>
      <c r="B197" s="101" t="s">
        <v>206</v>
      </c>
      <c r="C197" s="101"/>
      <c r="D197" s="93">
        <f ca="1">SUMIF('JURNAL UMUM'!$A$11:$G$108,$B$192,'JURNAL UMUM'!$F$11:$F$108)</f>
        <v>0</v>
      </c>
      <c r="E197" s="93">
        <f ca="1">SUMIF('JURNAL UMUM'!$A$11:$G$108,B192,'JURNAL UMUM'!$G$11:$G$108)</f>
        <v>250000</v>
      </c>
      <c r="F197" s="103"/>
      <c r="G197" s="91">
        <f ca="1">G196-D197+E197</f>
        <v>250000</v>
      </c>
    </row>
    <row r="198" spans="1:7">
      <c r="A198" s="114"/>
      <c r="B198" s="115"/>
      <c r="C198" s="115"/>
      <c r="D198" s="116"/>
      <c r="E198" s="116"/>
      <c r="F198" s="116"/>
      <c r="G198" s="117"/>
    </row>
    <row r="199" spans="1:7">
      <c r="A199" s="63"/>
      <c r="B199" s="63"/>
      <c r="C199" s="63"/>
      <c r="D199" s="118"/>
      <c r="E199" s="118"/>
      <c r="F199" s="118"/>
      <c r="G199" s="118"/>
    </row>
    <row r="200" spans="1:7">
      <c r="A200" s="63"/>
      <c r="B200" s="63"/>
      <c r="C200" s="63"/>
      <c r="D200" s="63"/>
      <c r="E200" s="63"/>
      <c r="F200" s="63"/>
      <c r="G200" s="63"/>
    </row>
    <row r="201" spans="1:7">
      <c r="A201" s="119" t="s">
        <v>207</v>
      </c>
      <c r="B201" s="77">
        <v>21403</v>
      </c>
      <c r="C201" s="77"/>
      <c r="D201" s="78"/>
      <c r="E201" s="78"/>
      <c r="F201" s="78"/>
      <c r="G201" s="79"/>
    </row>
    <row r="202" spans="1:7">
      <c r="A202" s="120" t="s">
        <v>208</v>
      </c>
      <c r="B202" s="30" t="str">
        <f>VLOOKUP(B201,'MATER AKUN'!$A$7:$B$71,2,FALSE)</f>
        <v>PPN Keluaran</v>
      </c>
      <c r="C202" s="28"/>
      <c r="D202" s="28"/>
      <c r="E202" s="28"/>
      <c r="F202" s="28"/>
      <c r="G202" s="81"/>
    </row>
    <row r="203" spans="1:7">
      <c r="A203" s="300" t="s">
        <v>173</v>
      </c>
      <c r="B203" s="302" t="s">
        <v>174</v>
      </c>
      <c r="C203" s="302" t="s">
        <v>175</v>
      </c>
      <c r="D203" s="302" t="s">
        <v>176</v>
      </c>
      <c r="E203" s="302" t="s">
        <v>177</v>
      </c>
      <c r="F203" s="340" t="s">
        <v>178</v>
      </c>
      <c r="G203" s="341"/>
    </row>
    <row r="204" spans="1:7">
      <c r="A204" s="300"/>
      <c r="B204" s="302"/>
      <c r="C204" s="302"/>
      <c r="D204" s="302"/>
      <c r="E204" s="302"/>
      <c r="F204" s="84" t="s">
        <v>176</v>
      </c>
      <c r="G204" s="85" t="s">
        <v>177</v>
      </c>
    </row>
    <row r="205" spans="1:7">
      <c r="A205" s="88" t="s">
        <v>203</v>
      </c>
      <c r="B205" s="10" t="s">
        <v>179</v>
      </c>
      <c r="C205" s="10"/>
      <c r="D205" s="69"/>
      <c r="E205" s="69"/>
      <c r="F205" s="69"/>
      <c r="G205" s="91">
        <f>VLOOKUP(B201,'MATER AKUN'!$A$7:$D$71,4,FALSE)</f>
        <v>0</v>
      </c>
    </row>
    <row r="206" spans="1:7">
      <c r="A206" s="88" t="s">
        <v>205</v>
      </c>
      <c r="B206" s="101" t="s">
        <v>206</v>
      </c>
      <c r="C206" s="101"/>
      <c r="D206" s="93">
        <f ca="1">SUMIF('JURNAL UMUM'!$A$11:$G$108,B201,'JURNAL UMUM'!$F$11:$F$108)</f>
        <v>212500</v>
      </c>
      <c r="E206" s="93">
        <f ca="1">SUMIF('JURNAL UMUM'!$A$11:$G$108,B201,'JURNAL UMUM'!$G$11:$G$108)</f>
        <v>14182250</v>
      </c>
      <c r="F206" s="103"/>
      <c r="G206" s="91">
        <f ca="1">G205-D206+E206</f>
        <v>13969750</v>
      </c>
    </row>
    <row r="207" spans="1:7">
      <c r="A207" s="114"/>
      <c r="B207" s="115"/>
      <c r="C207" s="115"/>
      <c r="D207" s="116"/>
      <c r="E207" s="116"/>
      <c r="F207" s="116"/>
      <c r="G207" s="117"/>
    </row>
    <row r="208" spans="1:7">
      <c r="A208" s="63"/>
      <c r="B208" s="63"/>
      <c r="C208" s="63"/>
      <c r="D208" s="118"/>
      <c r="E208" s="118"/>
      <c r="F208" s="118"/>
      <c r="G208" s="118"/>
    </row>
    <row r="209" spans="1:7">
      <c r="A209" s="63"/>
      <c r="B209" s="63"/>
      <c r="C209" s="63"/>
      <c r="D209" s="63"/>
      <c r="E209" s="63"/>
      <c r="F209" s="63"/>
      <c r="G209" s="63"/>
    </row>
    <row r="210" spans="1:7">
      <c r="A210" s="119" t="s">
        <v>207</v>
      </c>
      <c r="B210" s="77">
        <v>22001</v>
      </c>
      <c r="C210" s="77"/>
      <c r="D210" s="78"/>
      <c r="E210" s="78"/>
      <c r="F210" s="78"/>
      <c r="G210" s="79"/>
    </row>
    <row r="211" spans="1:7">
      <c r="A211" s="120" t="s">
        <v>208</v>
      </c>
      <c r="B211" s="30" t="str">
        <f>VLOOKUP(B210,'MATER AKUN'!$A$7:$B$71,2,FALSE)</f>
        <v>Hutang bank mandiri</v>
      </c>
      <c r="C211" s="28"/>
      <c r="D211" s="28"/>
      <c r="E211" s="28"/>
      <c r="F211" s="28"/>
      <c r="G211" s="81"/>
    </row>
    <row r="212" spans="1:7">
      <c r="A212" s="300" t="s">
        <v>173</v>
      </c>
      <c r="B212" s="302" t="s">
        <v>174</v>
      </c>
      <c r="C212" s="302" t="s">
        <v>175</v>
      </c>
      <c r="D212" s="302" t="s">
        <v>176</v>
      </c>
      <c r="E212" s="302" t="s">
        <v>177</v>
      </c>
      <c r="F212" s="340" t="s">
        <v>178</v>
      </c>
      <c r="G212" s="341"/>
    </row>
    <row r="213" spans="1:7">
      <c r="A213" s="300"/>
      <c r="B213" s="302"/>
      <c r="C213" s="302"/>
      <c r="D213" s="302"/>
      <c r="E213" s="302"/>
      <c r="F213" s="84" t="s">
        <v>176</v>
      </c>
      <c r="G213" s="85" t="s">
        <v>177</v>
      </c>
    </row>
    <row r="214" spans="1:7">
      <c r="A214" s="88" t="s">
        <v>203</v>
      </c>
      <c r="B214" s="10" t="s">
        <v>179</v>
      </c>
      <c r="C214" s="10"/>
      <c r="D214" s="69"/>
      <c r="E214" s="69"/>
      <c r="F214" s="69"/>
      <c r="G214" s="91">
        <f>VLOOKUP(B210,'MATER AKUN'!$A$7:$D$71,4,FALSE)</f>
        <v>75000000</v>
      </c>
    </row>
    <row r="215" spans="1:7">
      <c r="A215" s="88" t="s">
        <v>205</v>
      </c>
      <c r="B215" s="101" t="s">
        <v>206</v>
      </c>
      <c r="C215" s="101"/>
      <c r="D215" s="93">
        <f ca="1">SUMIF('JURNAL UMUM'!$A$11:$G$108,B210,'JURNAL UMUM'!$F$11:$F$108)</f>
        <v>0</v>
      </c>
      <c r="E215" s="93">
        <f ca="1">SUMIF('JURNAL UMUM'!$A$11:$G$108,B210,'JURNAL UMUM'!$G$11:$G$108)</f>
        <v>0</v>
      </c>
      <c r="F215" s="103"/>
      <c r="G215" s="91">
        <f ca="1">G214-D215+E215</f>
        <v>75000000</v>
      </c>
    </row>
    <row r="216" spans="1:7">
      <c r="A216" s="114"/>
      <c r="B216" s="115"/>
      <c r="C216" s="115"/>
      <c r="D216" s="116"/>
      <c r="E216" s="116"/>
      <c r="F216" s="116"/>
      <c r="G216" s="117"/>
    </row>
    <row r="217" spans="1:7">
      <c r="A217" s="63"/>
      <c r="B217" s="63"/>
      <c r="C217" s="63"/>
      <c r="D217" s="118"/>
      <c r="E217" s="118"/>
      <c r="F217" s="118"/>
      <c r="G217" s="118"/>
    </row>
    <row r="218" spans="1:7">
      <c r="A218" s="63"/>
      <c r="B218" s="63"/>
      <c r="C218" s="63"/>
      <c r="D218" s="63"/>
      <c r="E218" s="63"/>
      <c r="F218" s="63"/>
      <c r="G218" s="63"/>
    </row>
    <row r="219" spans="1:7">
      <c r="A219" s="119" t="s">
        <v>207</v>
      </c>
      <c r="B219" s="77">
        <v>31000</v>
      </c>
      <c r="C219" s="77"/>
      <c r="D219" s="78"/>
      <c r="E219" s="78"/>
      <c r="F219" s="78"/>
      <c r="G219" s="79"/>
    </row>
    <row r="220" spans="1:7">
      <c r="A220" s="120" t="s">
        <v>208</v>
      </c>
      <c r="B220" s="30" t="str">
        <f>VLOOKUP(B219,'MATER AKUN'!$A$7:$B$71,2,FALSE)</f>
        <v>Modal saham</v>
      </c>
      <c r="C220" s="28"/>
      <c r="D220" s="28"/>
      <c r="E220" s="28"/>
      <c r="F220" s="28"/>
      <c r="G220" s="81"/>
    </row>
    <row r="221" spans="1:7">
      <c r="A221" s="300" t="s">
        <v>173</v>
      </c>
      <c r="B221" s="302" t="s">
        <v>174</v>
      </c>
      <c r="C221" s="302" t="s">
        <v>175</v>
      </c>
      <c r="D221" s="302" t="s">
        <v>176</v>
      </c>
      <c r="E221" s="302" t="s">
        <v>177</v>
      </c>
      <c r="F221" s="340" t="s">
        <v>178</v>
      </c>
      <c r="G221" s="341"/>
    </row>
    <row r="222" spans="1:7">
      <c r="A222" s="300"/>
      <c r="B222" s="302"/>
      <c r="C222" s="302"/>
      <c r="D222" s="302"/>
      <c r="E222" s="302"/>
      <c r="F222" s="84" t="s">
        <v>176</v>
      </c>
      <c r="G222" s="85" t="s">
        <v>177</v>
      </c>
    </row>
    <row r="223" spans="1:7">
      <c r="A223" s="88" t="s">
        <v>203</v>
      </c>
      <c r="B223" s="10" t="s">
        <v>179</v>
      </c>
      <c r="C223" s="10"/>
      <c r="D223" s="69"/>
      <c r="E223" s="69"/>
      <c r="F223" s="69"/>
      <c r="G223" s="91">
        <f>VLOOKUP(B219,'MATER AKUN'!$A$7:$D$71,4,FALSE)</f>
        <v>150000000</v>
      </c>
    </row>
    <row r="224" spans="1:7">
      <c r="A224" s="88" t="s">
        <v>205</v>
      </c>
      <c r="B224" s="101" t="s">
        <v>206</v>
      </c>
      <c r="C224" s="101"/>
      <c r="D224" s="93">
        <f ca="1">SUMIF('JURNAL UMUM'!$A$11:$G$108,B219,'JURNAL UMUM'!$F$11:$F$108)</f>
        <v>0</v>
      </c>
      <c r="E224" s="93">
        <f ca="1">SUMIF('JURNAL UMUM'!$A$11:$G$108,B219,'JURNAL UMUM'!$G$11:$G$108)</f>
        <v>0</v>
      </c>
      <c r="F224" s="103"/>
      <c r="G224" s="91">
        <f ca="1">G223-D224+E224</f>
        <v>150000000</v>
      </c>
    </row>
    <row r="225" spans="1:7">
      <c r="A225" s="114"/>
      <c r="B225" s="115"/>
      <c r="C225" s="115"/>
      <c r="D225" s="116"/>
      <c r="E225" s="116"/>
      <c r="F225" s="116"/>
      <c r="G225" s="117"/>
    </row>
    <row r="226" spans="1:7">
      <c r="A226" s="63"/>
      <c r="B226" s="63"/>
      <c r="C226" s="63"/>
      <c r="D226" s="118"/>
      <c r="E226" s="118"/>
      <c r="F226" s="118"/>
      <c r="G226" s="118"/>
    </row>
    <row r="227" spans="1:7">
      <c r="A227" s="63"/>
      <c r="B227" s="63"/>
      <c r="C227" s="63"/>
      <c r="D227" s="63"/>
      <c r="E227" s="63"/>
      <c r="F227" s="63"/>
      <c r="G227" s="63"/>
    </row>
    <row r="228" spans="1:7">
      <c r="A228" s="119" t="s">
        <v>207</v>
      </c>
      <c r="B228" s="77">
        <v>32000</v>
      </c>
      <c r="C228" s="77"/>
      <c r="D228" s="78"/>
      <c r="E228" s="78"/>
      <c r="F228" s="78"/>
      <c r="G228" s="79"/>
    </row>
    <row r="229" spans="1:7">
      <c r="A229" s="120" t="s">
        <v>208</v>
      </c>
      <c r="B229" s="30" t="str">
        <f>VLOOKUP(B228,'MATER AKUN'!$A$7:$B$71,2,FALSE)</f>
        <v>Laba ditahan priode lalu</v>
      </c>
      <c r="C229" s="28"/>
      <c r="D229" s="28"/>
      <c r="E229" s="28"/>
      <c r="F229" s="28"/>
      <c r="G229" s="81"/>
    </row>
    <row r="230" spans="1:7">
      <c r="A230" s="300" t="s">
        <v>173</v>
      </c>
      <c r="B230" s="302" t="s">
        <v>174</v>
      </c>
      <c r="C230" s="302" t="s">
        <v>175</v>
      </c>
      <c r="D230" s="302" t="s">
        <v>176</v>
      </c>
      <c r="E230" s="302" t="s">
        <v>177</v>
      </c>
      <c r="F230" s="340" t="s">
        <v>178</v>
      </c>
      <c r="G230" s="341"/>
    </row>
    <row r="231" spans="1:7">
      <c r="A231" s="300"/>
      <c r="B231" s="302"/>
      <c r="C231" s="302"/>
      <c r="D231" s="302"/>
      <c r="E231" s="302"/>
      <c r="F231" s="84" t="s">
        <v>176</v>
      </c>
      <c r="G231" s="85" t="s">
        <v>177</v>
      </c>
    </row>
    <row r="232" spans="1:7">
      <c r="A232" s="88" t="s">
        <v>203</v>
      </c>
      <c r="B232" s="10" t="s">
        <v>179</v>
      </c>
      <c r="C232" s="10"/>
      <c r="D232" s="69"/>
      <c r="E232" s="69"/>
      <c r="F232" s="69"/>
      <c r="G232" s="91">
        <f>VLOOKUP(B228,'MATER AKUN'!$A$7:$D$71,4,FALSE)</f>
        <v>24630000</v>
      </c>
    </row>
    <row r="233" spans="1:7">
      <c r="A233" s="88" t="s">
        <v>205</v>
      </c>
      <c r="B233" s="101" t="s">
        <v>206</v>
      </c>
      <c r="C233" s="101"/>
      <c r="D233" s="93">
        <f ca="1">SUMIF('JURNAL UMUM'!$A$11:$G$108,B228,'JURNAL UMUM'!$F$11:$F$108)</f>
        <v>0</v>
      </c>
      <c r="E233" s="93">
        <f ca="1">SUMIF('JURNAL UMUM'!$A$11:$G$108,B228,'JURNAL UMUM'!$G$11:$G$108)</f>
        <v>0</v>
      </c>
      <c r="F233" s="103"/>
      <c r="G233" s="91">
        <f ca="1">G232-D233+E233</f>
        <v>24630000</v>
      </c>
    </row>
    <row r="234" spans="1:7">
      <c r="A234" s="114"/>
      <c r="B234" s="115"/>
      <c r="C234" s="115"/>
      <c r="D234" s="116"/>
      <c r="E234" s="116"/>
      <c r="F234" s="116"/>
      <c r="G234" s="117"/>
    </row>
    <row r="235" spans="1:7">
      <c r="A235" s="63"/>
      <c r="B235" s="63"/>
      <c r="C235" s="63"/>
      <c r="D235" s="118"/>
      <c r="E235" s="118"/>
      <c r="F235" s="118"/>
      <c r="G235" s="118"/>
    </row>
    <row r="236" spans="1:7">
      <c r="A236" s="63"/>
      <c r="B236" s="63"/>
      <c r="C236" s="63"/>
      <c r="D236" s="63"/>
      <c r="E236" s="63"/>
      <c r="F236" s="63"/>
      <c r="G236" s="63"/>
    </row>
    <row r="237" spans="1:7">
      <c r="A237" s="119" t="s">
        <v>207</v>
      </c>
      <c r="B237" s="77">
        <v>33000</v>
      </c>
      <c r="C237" s="77"/>
      <c r="D237" s="78"/>
      <c r="E237" s="78"/>
      <c r="F237" s="78"/>
      <c r="G237" s="79"/>
    </row>
    <row r="238" spans="1:7">
      <c r="A238" s="120" t="s">
        <v>208</v>
      </c>
      <c r="B238" s="30" t="str">
        <f>VLOOKUP(B237,'MATER AKUN'!$A$7:$B$71,2,FALSE)</f>
        <v>Laba ditahan priode berjalan</v>
      </c>
      <c r="C238" s="28"/>
      <c r="D238" s="28"/>
      <c r="E238" s="28"/>
      <c r="F238" s="28"/>
      <c r="G238" s="81"/>
    </row>
    <row r="239" spans="1:7">
      <c r="A239" s="300" t="s">
        <v>173</v>
      </c>
      <c r="B239" s="302" t="s">
        <v>174</v>
      </c>
      <c r="C239" s="302" t="s">
        <v>175</v>
      </c>
      <c r="D239" s="302" t="s">
        <v>176</v>
      </c>
      <c r="E239" s="302" t="s">
        <v>177</v>
      </c>
      <c r="F239" s="340" t="s">
        <v>178</v>
      </c>
      <c r="G239" s="341"/>
    </row>
    <row r="240" spans="1:7">
      <c r="A240" s="300"/>
      <c r="B240" s="302"/>
      <c r="C240" s="302"/>
      <c r="D240" s="302"/>
      <c r="E240" s="302"/>
      <c r="F240" s="84" t="s">
        <v>176</v>
      </c>
      <c r="G240" s="85" t="s">
        <v>177</v>
      </c>
    </row>
    <row r="241" spans="1:7">
      <c r="A241" s="123" t="s">
        <v>203</v>
      </c>
      <c r="B241" s="89" t="s">
        <v>179</v>
      </c>
      <c r="C241" s="89"/>
      <c r="D241" s="69"/>
      <c r="E241" s="69"/>
      <c r="F241" s="69"/>
      <c r="G241" s="91">
        <f>VLOOKUP(B237,'MATER AKUN'!$A$7:$D$71,4,FALSE)</f>
        <v>0</v>
      </c>
    </row>
    <row r="242" spans="1:7">
      <c r="A242" s="88" t="s">
        <v>205</v>
      </c>
      <c r="B242" s="101" t="s">
        <v>206</v>
      </c>
      <c r="C242" s="101"/>
      <c r="D242" s="93">
        <f ca="1">SUMIF('JURNAL UMUM'!$A$9:$G$120,B237,'JURNAL UMUM'!$F$9:$F$122)</f>
        <v>0</v>
      </c>
      <c r="E242" s="93">
        <f ca="1">SUMIF('JURNAL UMUM'!$A$9:$G$120,B237,'JURNAL UMUM'!$G$9:$G$120)</f>
        <v>0</v>
      </c>
      <c r="F242" s="103"/>
      <c r="G242" s="91">
        <f ca="1">G241+D242-E242</f>
        <v>0</v>
      </c>
    </row>
    <row r="243" spans="1:7">
      <c r="A243" s="114"/>
      <c r="B243" s="115"/>
      <c r="C243" s="115"/>
      <c r="D243" s="116"/>
      <c r="E243" s="116"/>
      <c r="F243" s="116"/>
      <c r="G243" s="117"/>
    </row>
    <row r="244" spans="1:7">
      <c r="A244" s="63"/>
      <c r="B244" s="63"/>
      <c r="C244" s="63"/>
      <c r="D244" s="63"/>
      <c r="E244" s="63"/>
      <c r="F244" s="63"/>
      <c r="G244" s="63"/>
    </row>
    <row r="245" spans="1:7">
      <c r="A245" s="63"/>
      <c r="B245" s="63"/>
      <c r="C245" s="63"/>
      <c r="D245" s="63"/>
      <c r="E245" s="63"/>
      <c r="F245" s="63"/>
      <c r="G245" s="63"/>
    </row>
    <row r="246" spans="1:7">
      <c r="A246" s="119" t="s">
        <v>207</v>
      </c>
      <c r="B246" s="77">
        <v>41000</v>
      </c>
      <c r="C246" s="77"/>
      <c r="D246" s="78"/>
      <c r="E246" s="78"/>
      <c r="F246" s="78"/>
      <c r="G246" s="79"/>
    </row>
    <row r="247" spans="1:7">
      <c r="A247" s="120" t="s">
        <v>208</v>
      </c>
      <c r="B247" s="30" t="str">
        <f>VLOOKUP(B246,'MATER AKUN'!$A$7:$B$71,2,FALSE)</f>
        <v xml:space="preserve">Penjualan </v>
      </c>
      <c r="C247" s="28"/>
      <c r="D247" s="28"/>
      <c r="E247" s="28"/>
      <c r="F247" s="28"/>
      <c r="G247" s="81"/>
    </row>
    <row r="248" spans="1:7">
      <c r="A248" s="300" t="s">
        <v>173</v>
      </c>
      <c r="B248" s="302" t="s">
        <v>174</v>
      </c>
      <c r="C248" s="302" t="s">
        <v>175</v>
      </c>
      <c r="D248" s="302" t="s">
        <v>176</v>
      </c>
      <c r="E248" s="302" t="s">
        <v>177</v>
      </c>
      <c r="F248" s="340" t="s">
        <v>178</v>
      </c>
      <c r="G248" s="341"/>
    </row>
    <row r="249" spans="1:7">
      <c r="A249" s="300"/>
      <c r="B249" s="302"/>
      <c r="C249" s="302"/>
      <c r="D249" s="302"/>
      <c r="E249" s="302"/>
      <c r="F249" s="84" t="s">
        <v>176</v>
      </c>
      <c r="G249" s="85" t="s">
        <v>177</v>
      </c>
    </row>
    <row r="250" spans="1:7">
      <c r="A250" s="88" t="s">
        <v>203</v>
      </c>
      <c r="B250" s="10" t="s">
        <v>179</v>
      </c>
      <c r="C250" s="10"/>
      <c r="D250" s="69"/>
      <c r="E250" s="69"/>
      <c r="F250" s="69"/>
      <c r="G250" s="91">
        <f>VLOOKUP(B246,'MATER AKUN'!$A$7:$D$71,4,FALSE)</f>
        <v>0</v>
      </c>
    </row>
    <row r="251" spans="1:7">
      <c r="A251" s="88" t="s">
        <v>205</v>
      </c>
      <c r="B251" s="101" t="s">
        <v>206</v>
      </c>
      <c r="C251" s="101"/>
      <c r="D251" s="93">
        <f ca="1">SUMIF('JURNAL UMUM'!$A$11:$G$108,B246,'JURNAL UMUM'!$F$11:$F$108)</f>
        <v>0</v>
      </c>
      <c r="E251" s="93">
        <f ca="1">SUMIF('JURNAL UMUM'!$A$9:$G$119,B246,'JURNAL UMUM'!$G$9:$G$120)</f>
        <v>142385000</v>
      </c>
      <c r="F251" s="103"/>
      <c r="G251" s="91">
        <f ca="1">G250-D251+E251</f>
        <v>142385000</v>
      </c>
    </row>
    <row r="252" spans="1:7">
      <c r="A252" s="114"/>
      <c r="B252" s="115"/>
      <c r="C252" s="115"/>
      <c r="D252" s="116"/>
      <c r="E252" s="116"/>
      <c r="F252" s="116"/>
      <c r="G252" s="117"/>
    </row>
    <row r="253" spans="1:7">
      <c r="A253" s="63"/>
      <c r="B253" s="63"/>
      <c r="C253" s="63"/>
      <c r="D253" s="118"/>
      <c r="E253" s="118"/>
      <c r="F253" s="118"/>
      <c r="G253" s="118"/>
    </row>
    <row r="254" spans="1:7">
      <c r="A254" s="63"/>
      <c r="B254" s="63"/>
      <c r="C254" s="63"/>
      <c r="D254" s="63"/>
      <c r="E254" s="63"/>
      <c r="F254" s="63"/>
      <c r="G254" s="63"/>
    </row>
    <row r="255" spans="1:7">
      <c r="A255" s="104" t="s">
        <v>207</v>
      </c>
      <c r="B255" s="105">
        <v>42000</v>
      </c>
      <c r="C255" s="105"/>
      <c r="D255" s="106"/>
      <c r="E255" s="106"/>
      <c r="F255" s="106"/>
      <c r="G255" s="107"/>
    </row>
    <row r="256" spans="1:7">
      <c r="A256" s="108" t="s">
        <v>208</v>
      </c>
      <c r="B256" s="109" t="str">
        <f>VLOOKUP(B255,'MATER AKUN'!$A$7:$B$71,2,FALSE)</f>
        <v>Retur penjualan</v>
      </c>
      <c r="C256" s="111"/>
      <c r="D256" s="111"/>
      <c r="E256" s="111"/>
      <c r="F256" s="111"/>
      <c r="G256" s="112"/>
    </row>
    <row r="257" spans="1:7">
      <c r="A257" s="300" t="s">
        <v>173</v>
      </c>
      <c r="B257" s="302" t="s">
        <v>174</v>
      </c>
      <c r="C257" s="302" t="s">
        <v>175</v>
      </c>
      <c r="D257" s="302" t="s">
        <v>176</v>
      </c>
      <c r="E257" s="302" t="s">
        <v>177</v>
      </c>
      <c r="F257" s="340" t="s">
        <v>178</v>
      </c>
      <c r="G257" s="341"/>
    </row>
    <row r="258" spans="1:7">
      <c r="A258" s="300"/>
      <c r="B258" s="302"/>
      <c r="C258" s="302"/>
      <c r="D258" s="302"/>
      <c r="E258" s="302"/>
      <c r="F258" s="84" t="s">
        <v>176</v>
      </c>
      <c r="G258" s="85" t="s">
        <v>177</v>
      </c>
    </row>
    <row r="259" spans="1:7">
      <c r="A259" s="88" t="s">
        <v>203</v>
      </c>
      <c r="B259" s="10" t="s">
        <v>179</v>
      </c>
      <c r="C259" s="10"/>
      <c r="D259" s="69"/>
      <c r="E259" s="69"/>
      <c r="F259" s="90">
        <f>VLOOKUP(B255,'MATER AKUN'!$A$7:$D$71,3,FALSE)</f>
        <v>0</v>
      </c>
      <c r="G259" s="91"/>
    </row>
    <row r="260" spans="1:7">
      <c r="A260" s="88" t="s">
        <v>205</v>
      </c>
      <c r="B260" s="89" t="s">
        <v>206</v>
      </c>
      <c r="C260" s="89"/>
      <c r="D260" s="113">
        <f ca="1">SUMIF('JURNAL UMUM'!$A$11:$G$108,B255,'JURNAL UMUM'!$F$11:$F$108)</f>
        <v>2125000</v>
      </c>
      <c r="E260" s="113">
        <f ca="1">SUMIF('JURNAL UMUM'!$A$11:$G$108,B255,'JURNAL UMUM'!$G$11:$G$108)</f>
        <v>0</v>
      </c>
      <c r="F260" s="90">
        <f ca="1">F259+D260</f>
        <v>2125000</v>
      </c>
      <c r="G260" s="91"/>
    </row>
    <row r="261" spans="1:7">
      <c r="A261" s="114"/>
      <c r="B261" s="115"/>
      <c r="C261" s="115"/>
      <c r="D261" s="116"/>
      <c r="E261" s="116"/>
      <c r="F261" s="116"/>
      <c r="G261" s="117"/>
    </row>
    <row r="262" spans="1:7">
      <c r="A262" s="63"/>
      <c r="B262" s="63"/>
      <c r="C262" s="63"/>
      <c r="D262" s="118"/>
      <c r="E262" s="118"/>
      <c r="F262" s="118"/>
      <c r="G262" s="118"/>
    </row>
    <row r="263" spans="1:7">
      <c r="A263" s="63"/>
      <c r="B263" s="63"/>
      <c r="C263" s="63"/>
      <c r="D263" s="63"/>
      <c r="E263" s="63"/>
      <c r="F263" s="63"/>
      <c r="G263" s="63"/>
    </row>
    <row r="264" spans="1:7">
      <c r="A264" s="119" t="s">
        <v>207</v>
      </c>
      <c r="B264" s="77">
        <v>43000</v>
      </c>
      <c r="C264" s="77"/>
      <c r="D264" s="78"/>
      <c r="E264" s="78"/>
      <c r="F264" s="78"/>
      <c r="G264" s="79"/>
    </row>
    <row r="265" spans="1:7">
      <c r="A265" s="120" t="s">
        <v>208</v>
      </c>
      <c r="B265" s="30" t="str">
        <f>VLOOKUP(B264,'MATER AKUN'!$A$7:$B$71,2,FALSE)</f>
        <v>Potongan penjualan</v>
      </c>
      <c r="C265" s="28"/>
      <c r="D265" s="28"/>
      <c r="E265" s="28"/>
      <c r="F265" s="28"/>
      <c r="G265" s="81"/>
    </row>
    <row r="266" spans="1:7">
      <c r="A266" s="300" t="s">
        <v>173</v>
      </c>
      <c r="B266" s="302" t="s">
        <v>174</v>
      </c>
      <c r="C266" s="302" t="s">
        <v>175</v>
      </c>
      <c r="D266" s="302" t="s">
        <v>176</v>
      </c>
      <c r="E266" s="302" t="s">
        <v>177</v>
      </c>
      <c r="F266" s="340" t="s">
        <v>178</v>
      </c>
      <c r="G266" s="341"/>
    </row>
    <row r="267" spans="1:7">
      <c r="A267" s="300"/>
      <c r="B267" s="302"/>
      <c r="C267" s="302"/>
      <c r="D267" s="302"/>
      <c r="E267" s="302"/>
      <c r="F267" s="84" t="s">
        <v>176</v>
      </c>
      <c r="G267" s="85" t="s">
        <v>177</v>
      </c>
    </row>
    <row r="268" spans="1:7">
      <c r="A268" s="88" t="s">
        <v>203</v>
      </c>
      <c r="B268" s="10" t="s">
        <v>179</v>
      </c>
      <c r="C268" s="10"/>
      <c r="D268" s="69"/>
      <c r="E268" s="69"/>
      <c r="F268" s="90">
        <f>VLOOKUP(B264,'MATER AKUN'!$A$7:$D$71,3,FALSE)</f>
        <v>0</v>
      </c>
      <c r="G268" s="91"/>
    </row>
    <row r="269" spans="1:7">
      <c r="A269" s="88" t="s">
        <v>205</v>
      </c>
      <c r="B269" s="101" t="s">
        <v>206</v>
      </c>
      <c r="C269" s="101"/>
      <c r="D269" s="93">
        <f ca="1">SUMIF('JURNAL UMUM'!$A$11:$G$108,B264,'JURNAL UMUM'!$F$11:$F$108)</f>
        <v>3022500</v>
      </c>
      <c r="E269" s="93">
        <f ca="1">SUMIF('JURNAL UMUM'!$A$11:$G$108,B264,'JURNAL UMUM'!$G$11:$G$108)</f>
        <v>0</v>
      </c>
      <c r="F269" s="91">
        <f ca="1">F268-C269+D269</f>
        <v>3022500</v>
      </c>
      <c r="G269" s="91"/>
    </row>
    <row r="270" spans="1:7">
      <c r="A270" s="114"/>
      <c r="B270" s="115"/>
      <c r="C270" s="115"/>
      <c r="D270" s="116"/>
      <c r="E270" s="116"/>
      <c r="F270" s="116"/>
      <c r="G270" s="117"/>
    </row>
    <row r="271" spans="1:7">
      <c r="A271" s="63"/>
      <c r="B271" s="63"/>
      <c r="C271" s="63"/>
      <c r="D271" s="118"/>
      <c r="E271" s="118"/>
      <c r="F271" s="118"/>
      <c r="G271" s="118"/>
    </row>
    <row r="272" spans="1:7">
      <c r="A272" s="63"/>
      <c r="B272" s="63"/>
      <c r="C272" s="63"/>
      <c r="D272" s="63"/>
      <c r="E272" s="63"/>
      <c r="F272" s="63"/>
      <c r="G272" s="63"/>
    </row>
    <row r="273" spans="1:7">
      <c r="A273" s="119" t="s">
        <v>207</v>
      </c>
      <c r="B273" s="77">
        <v>51000</v>
      </c>
      <c r="C273" s="77"/>
      <c r="D273" s="78"/>
      <c r="E273" s="78"/>
      <c r="F273" s="78"/>
      <c r="G273" s="79"/>
    </row>
    <row r="274" spans="1:7">
      <c r="A274" s="120" t="s">
        <v>208</v>
      </c>
      <c r="B274" s="30" t="str">
        <f>VLOOKUP(B273,'MATER AKUN'!$A$7:$B$71,2,FALSE)</f>
        <v>Harga pokok penjualan</v>
      </c>
      <c r="C274" s="28"/>
      <c r="D274" s="28"/>
      <c r="E274" s="28"/>
      <c r="F274" s="28"/>
      <c r="G274" s="81"/>
    </row>
    <row r="275" spans="1:7">
      <c r="A275" s="300" t="s">
        <v>173</v>
      </c>
      <c r="B275" s="302" t="s">
        <v>174</v>
      </c>
      <c r="C275" s="302" t="s">
        <v>175</v>
      </c>
      <c r="D275" s="302" t="s">
        <v>176</v>
      </c>
      <c r="E275" s="302" t="s">
        <v>177</v>
      </c>
      <c r="F275" s="340" t="s">
        <v>178</v>
      </c>
      <c r="G275" s="341"/>
    </row>
    <row r="276" spans="1:7">
      <c r="A276" s="300"/>
      <c r="B276" s="302"/>
      <c r="C276" s="302"/>
      <c r="D276" s="302"/>
      <c r="E276" s="302"/>
      <c r="F276" s="84" t="s">
        <v>176</v>
      </c>
      <c r="G276" s="85" t="s">
        <v>177</v>
      </c>
    </row>
    <row r="277" spans="1:7">
      <c r="A277" s="88" t="s">
        <v>203</v>
      </c>
      <c r="B277" s="10" t="s">
        <v>179</v>
      </c>
      <c r="C277" s="10"/>
      <c r="D277" s="69"/>
      <c r="E277" s="69"/>
      <c r="F277" s="90">
        <f>VLOOKUP(B273,'MATER AKUN'!$A$7:$D$71,3,FALSE)</f>
        <v>0</v>
      </c>
      <c r="G277" s="124"/>
    </row>
    <row r="278" spans="1:7">
      <c r="A278" s="88" t="s">
        <v>205</v>
      </c>
      <c r="B278" s="101" t="s">
        <v>206</v>
      </c>
      <c r="C278" s="101"/>
      <c r="D278" s="93">
        <f ca="1">SUMIF('JURNAL UMUM'!$A$11:$G$108,B273,'JURNAL UMUM'!$F$11:$F$108)</f>
        <v>118065000</v>
      </c>
      <c r="E278" s="93">
        <f ca="1">SUMIF('JURNAL UMUM'!$A$11:$G$108,B273,'JURNAL UMUM'!$G$11:$G$108)</f>
        <v>1725000</v>
      </c>
      <c r="F278" s="91">
        <f ca="1">F277-C278+D278</f>
        <v>118065000</v>
      </c>
      <c r="G278" s="91"/>
    </row>
    <row r="279" spans="1:7">
      <c r="A279" s="114"/>
      <c r="B279" s="115"/>
      <c r="C279" s="115"/>
      <c r="D279" s="116"/>
      <c r="E279" s="116"/>
      <c r="F279" s="116"/>
      <c r="G279" s="117"/>
    </row>
    <row r="280" spans="1:7">
      <c r="A280" s="63"/>
      <c r="B280" s="63"/>
      <c r="C280" s="63"/>
      <c r="D280" s="118"/>
      <c r="E280" s="118"/>
      <c r="F280" s="118"/>
      <c r="G280" s="118"/>
    </row>
    <row r="281" spans="1:7">
      <c r="A281" s="63"/>
      <c r="B281" s="63"/>
      <c r="C281" s="63"/>
      <c r="D281" s="63"/>
      <c r="E281" s="63"/>
      <c r="F281" s="63"/>
      <c r="G281" s="63"/>
    </row>
    <row r="282" spans="1:7">
      <c r="A282" s="119" t="s">
        <v>207</v>
      </c>
      <c r="B282" s="77">
        <v>61001</v>
      </c>
      <c r="C282" s="77"/>
      <c r="D282" s="78"/>
      <c r="E282" s="78"/>
      <c r="F282" s="78"/>
      <c r="G282" s="79"/>
    </row>
    <row r="283" spans="1:7">
      <c r="A283" s="120" t="s">
        <v>208</v>
      </c>
      <c r="B283" s="30" t="str">
        <f>VLOOKUP(B282,'MATER AKUN'!$A$7:$B$71,2,FALSE)</f>
        <v>Beban gaji karyawan</v>
      </c>
      <c r="C283" s="28"/>
      <c r="D283" s="28"/>
      <c r="E283" s="28"/>
      <c r="F283" s="28"/>
      <c r="G283" s="81"/>
    </row>
    <row r="284" spans="1:7">
      <c r="A284" s="300" t="s">
        <v>173</v>
      </c>
      <c r="B284" s="302" t="s">
        <v>174</v>
      </c>
      <c r="C284" s="302" t="s">
        <v>175</v>
      </c>
      <c r="D284" s="302" t="s">
        <v>176</v>
      </c>
      <c r="E284" s="302" t="s">
        <v>177</v>
      </c>
      <c r="F284" s="340" t="s">
        <v>178</v>
      </c>
      <c r="G284" s="341"/>
    </row>
    <row r="285" spans="1:7">
      <c r="A285" s="300"/>
      <c r="B285" s="302"/>
      <c r="C285" s="302"/>
      <c r="D285" s="302"/>
      <c r="E285" s="302"/>
      <c r="F285" s="84" t="s">
        <v>176</v>
      </c>
      <c r="G285" s="85" t="s">
        <v>177</v>
      </c>
    </row>
    <row r="286" spans="1:7">
      <c r="A286" s="88" t="s">
        <v>203</v>
      </c>
      <c r="B286" s="10" t="s">
        <v>179</v>
      </c>
      <c r="C286" s="10"/>
      <c r="D286" s="69"/>
      <c r="E286" s="69"/>
      <c r="F286" s="90">
        <f>VLOOKUP(B282,'MATER AKUN'!$A$7:$D$71,3,FALSE)</f>
        <v>0</v>
      </c>
      <c r="G286" s="124"/>
    </row>
    <row r="287" spans="1:7">
      <c r="A287" s="88" t="s">
        <v>205</v>
      </c>
      <c r="B287" s="101" t="s">
        <v>206</v>
      </c>
      <c r="C287" s="101"/>
      <c r="D287" s="93">
        <f ca="1">SUMIF('JURNAL UMUM'!$A$11:$G$108,B282,'JURNAL UMUM'!$F$11:$F$108)</f>
        <v>14500000</v>
      </c>
      <c r="E287" s="93">
        <f ca="1">SUMIF('JURNAL UMUM'!$A$11:$G$108,B282,'JURNAL UMUM'!$G$11:$G$108)</f>
        <v>0</v>
      </c>
      <c r="F287" s="91">
        <f ca="1">F286-C287+D287</f>
        <v>14500000</v>
      </c>
      <c r="G287" s="91"/>
    </row>
    <row r="288" spans="1:7">
      <c r="A288" s="114"/>
      <c r="B288" s="115"/>
      <c r="C288" s="115"/>
      <c r="D288" s="116"/>
      <c r="E288" s="116"/>
      <c r="F288" s="116"/>
      <c r="G288" s="117"/>
    </row>
    <row r="289" spans="1:7">
      <c r="A289" s="63"/>
      <c r="B289" s="63"/>
      <c r="C289" s="63"/>
      <c r="D289" s="118"/>
      <c r="E289" s="118"/>
      <c r="F289" s="118"/>
      <c r="G289" s="118"/>
    </row>
    <row r="290" spans="1:7">
      <c r="A290" s="63"/>
      <c r="B290" s="63"/>
      <c r="C290" s="63"/>
      <c r="D290" s="63"/>
      <c r="E290" s="63"/>
      <c r="F290" s="63"/>
      <c r="G290" s="63"/>
    </row>
    <row r="291" spans="1:7">
      <c r="A291" s="119" t="s">
        <v>207</v>
      </c>
      <c r="B291" s="77">
        <v>61002</v>
      </c>
      <c r="C291" s="77"/>
      <c r="D291" s="78"/>
      <c r="E291" s="78"/>
      <c r="F291" s="78"/>
      <c r="G291" s="79"/>
    </row>
    <row r="292" spans="1:7">
      <c r="A292" s="120" t="s">
        <v>208</v>
      </c>
      <c r="B292" s="30" t="str">
        <f>VLOOKUP(B291,'MATER AKUN'!$A$7:$B$71,2,FALSE)</f>
        <v>Beban sewa</v>
      </c>
      <c r="C292" s="28"/>
      <c r="D292" s="28"/>
      <c r="E292" s="28"/>
      <c r="F292" s="28"/>
      <c r="G292" s="81"/>
    </row>
    <row r="293" spans="1:7">
      <c r="A293" s="300" t="s">
        <v>173</v>
      </c>
      <c r="B293" s="302" t="s">
        <v>174</v>
      </c>
      <c r="C293" s="302" t="s">
        <v>175</v>
      </c>
      <c r="D293" s="302" t="s">
        <v>176</v>
      </c>
      <c r="E293" s="302" t="s">
        <v>177</v>
      </c>
      <c r="F293" s="340" t="s">
        <v>178</v>
      </c>
      <c r="G293" s="341"/>
    </row>
    <row r="294" spans="1:7">
      <c r="A294" s="300"/>
      <c r="B294" s="302"/>
      <c r="C294" s="302"/>
      <c r="D294" s="302"/>
      <c r="E294" s="302"/>
      <c r="F294" s="84" t="s">
        <v>176</v>
      </c>
      <c r="G294" s="85" t="s">
        <v>177</v>
      </c>
    </row>
    <row r="295" spans="1:7">
      <c r="A295" s="88" t="s">
        <v>203</v>
      </c>
      <c r="B295" s="10" t="s">
        <v>179</v>
      </c>
      <c r="C295" s="10"/>
      <c r="D295" s="69"/>
      <c r="E295" s="69"/>
      <c r="F295" s="90">
        <f>VLOOKUP(B291,'MATER AKUN'!$A$7:$D$71,3,FALSE)</f>
        <v>0</v>
      </c>
      <c r="G295" s="124"/>
    </row>
    <row r="296" spans="1:7">
      <c r="A296" s="88" t="s">
        <v>205</v>
      </c>
      <c r="B296" s="101" t="s">
        <v>206</v>
      </c>
      <c r="C296" s="101"/>
      <c r="D296" s="93">
        <f ca="1">SUMIF('JURNAL UMUM'!$A$11:$G$108,B291,'JURNAL UMUM'!$F$11:$F$108)</f>
        <v>2500000</v>
      </c>
      <c r="E296" s="93">
        <f ca="1">SUMIF('JURNAL UMUM'!$A$11:$G$108,B291,'JURNAL UMUM'!$G$11:$G$108)</f>
        <v>0</v>
      </c>
      <c r="F296" s="91">
        <f ca="1">F295-C296+D296</f>
        <v>2500000</v>
      </c>
      <c r="G296" s="91"/>
    </row>
    <row r="297" spans="1:7">
      <c r="A297" s="114"/>
      <c r="B297" s="115"/>
      <c r="C297" s="115"/>
      <c r="D297" s="116"/>
      <c r="E297" s="116"/>
      <c r="F297" s="116"/>
      <c r="G297" s="117"/>
    </row>
    <row r="298" spans="1:7">
      <c r="A298" s="63"/>
      <c r="B298" s="63"/>
      <c r="C298" s="63"/>
      <c r="D298" s="118"/>
      <c r="E298" s="118"/>
      <c r="F298" s="118"/>
      <c r="G298" s="118"/>
    </row>
    <row r="299" spans="1:7">
      <c r="A299" s="63"/>
      <c r="B299" s="63"/>
      <c r="C299" s="63"/>
      <c r="D299" s="63"/>
      <c r="E299" s="63"/>
      <c r="F299" s="63"/>
      <c r="G299" s="63"/>
    </row>
    <row r="300" spans="1:7">
      <c r="A300" s="119" t="s">
        <v>207</v>
      </c>
      <c r="B300" s="77">
        <v>61003</v>
      </c>
      <c r="C300" s="77"/>
      <c r="D300" s="78"/>
      <c r="E300" s="78"/>
      <c r="F300" s="78"/>
      <c r="G300" s="79"/>
    </row>
    <row r="301" spans="1:7">
      <c r="A301" s="120" t="s">
        <v>208</v>
      </c>
      <c r="B301" s="30" t="str">
        <f>VLOOKUP(B300,'MATER AKUN'!$A$7:$B$71,2,FALSE)</f>
        <v>Beban piutang tak tertagih</v>
      </c>
      <c r="C301" s="28"/>
      <c r="D301" s="28"/>
      <c r="E301" s="28"/>
      <c r="F301" s="28"/>
      <c r="G301" s="81"/>
    </row>
    <row r="302" spans="1:7">
      <c r="A302" s="300" t="s">
        <v>173</v>
      </c>
      <c r="B302" s="302" t="s">
        <v>174</v>
      </c>
      <c r="C302" s="302" t="s">
        <v>175</v>
      </c>
      <c r="D302" s="302" t="s">
        <v>176</v>
      </c>
      <c r="E302" s="302" t="s">
        <v>177</v>
      </c>
      <c r="F302" s="340" t="s">
        <v>178</v>
      </c>
      <c r="G302" s="341"/>
    </row>
    <row r="303" spans="1:7">
      <c r="A303" s="300"/>
      <c r="B303" s="302"/>
      <c r="C303" s="302"/>
      <c r="D303" s="302"/>
      <c r="E303" s="302"/>
      <c r="F303" s="84" t="s">
        <v>176</v>
      </c>
      <c r="G303" s="85" t="s">
        <v>177</v>
      </c>
    </row>
    <row r="304" spans="1:7">
      <c r="A304" s="88" t="s">
        <v>203</v>
      </c>
      <c r="B304" s="10" t="s">
        <v>179</v>
      </c>
      <c r="C304" s="10"/>
      <c r="D304" s="69"/>
      <c r="E304" s="69"/>
      <c r="F304" s="90">
        <f>VLOOKUP(B300,'MATER AKUN'!$A$7:$D$71,3,FALSE)</f>
        <v>0</v>
      </c>
      <c r="G304" s="124"/>
    </row>
    <row r="305" spans="1:7">
      <c r="A305" s="88" t="s">
        <v>205</v>
      </c>
      <c r="B305" s="101" t="s">
        <v>206</v>
      </c>
      <c r="C305" s="101"/>
      <c r="D305" s="93">
        <f ca="1">SUMIF('JURNAL UMUM'!$A$9:$G$119,B300,'JURNAL UMUM'!$F$9:$F$119)</f>
        <v>2901750</v>
      </c>
      <c r="E305" s="93">
        <f ca="1">SUMIF('JURNAL UMUM'!$A$11:$G$108,B300,'JURNAL UMUM'!$G$11:$G$108)</f>
        <v>0</v>
      </c>
      <c r="F305" s="91">
        <f ca="1">F304-C305+D305</f>
        <v>2901750</v>
      </c>
      <c r="G305" s="91"/>
    </row>
    <row r="306" spans="1:7">
      <c r="A306" s="114"/>
      <c r="B306" s="115"/>
      <c r="C306" s="115"/>
      <c r="D306" s="116"/>
      <c r="E306" s="116"/>
      <c r="F306" s="116"/>
      <c r="G306" s="117"/>
    </row>
    <row r="307" spans="1:7">
      <c r="A307" s="63"/>
      <c r="B307" s="63"/>
      <c r="C307" s="63"/>
      <c r="D307" s="118"/>
      <c r="E307" s="118"/>
      <c r="F307" s="118"/>
      <c r="G307" s="118"/>
    </row>
    <row r="308" spans="1:7">
      <c r="A308" s="63"/>
      <c r="B308" s="63"/>
      <c r="C308" s="63"/>
      <c r="D308" s="63"/>
      <c r="E308" s="63"/>
      <c r="F308" s="63"/>
      <c r="G308" s="63"/>
    </row>
    <row r="309" spans="1:7">
      <c r="A309" s="119" t="s">
        <v>207</v>
      </c>
      <c r="B309" s="77">
        <v>61004</v>
      </c>
      <c r="C309" s="77"/>
      <c r="D309" s="78"/>
      <c r="E309" s="78"/>
      <c r="F309" s="78"/>
      <c r="G309" s="79"/>
    </row>
    <row r="310" spans="1:7">
      <c r="A310" s="120" t="s">
        <v>208</v>
      </c>
      <c r="B310" s="30" t="str">
        <f>VLOOKUP(B309,'MATER AKUN'!$A$7:$B$71,2,FALSE)</f>
        <v>Beban Listrik</v>
      </c>
      <c r="C310" s="28"/>
      <c r="D310" s="28"/>
      <c r="E310" s="28"/>
      <c r="F310" s="28"/>
      <c r="G310" s="81"/>
    </row>
    <row r="311" spans="1:7">
      <c r="A311" s="300" t="s">
        <v>173</v>
      </c>
      <c r="B311" s="302" t="s">
        <v>174</v>
      </c>
      <c r="C311" s="302" t="s">
        <v>175</v>
      </c>
      <c r="D311" s="302" t="s">
        <v>176</v>
      </c>
      <c r="E311" s="302" t="s">
        <v>177</v>
      </c>
      <c r="F311" s="340" t="s">
        <v>178</v>
      </c>
      <c r="G311" s="341"/>
    </row>
    <row r="312" spans="1:7">
      <c r="A312" s="300"/>
      <c r="B312" s="302"/>
      <c r="C312" s="302"/>
      <c r="D312" s="302"/>
      <c r="E312" s="302"/>
      <c r="F312" s="84" t="s">
        <v>176</v>
      </c>
      <c r="G312" s="85" t="s">
        <v>177</v>
      </c>
    </row>
    <row r="313" spans="1:7">
      <c r="A313" s="88"/>
      <c r="B313" s="10" t="s">
        <v>179</v>
      </c>
      <c r="C313" s="10"/>
      <c r="D313" s="69"/>
      <c r="E313" s="69"/>
      <c r="F313" s="90">
        <f>VLOOKUP(B309,'MATER AKUN'!$A$7:$D$71,3,FALSE)</f>
        <v>0</v>
      </c>
      <c r="G313" s="124"/>
    </row>
    <row r="314" spans="1:7">
      <c r="A314" s="88" t="s">
        <v>205</v>
      </c>
      <c r="B314" s="101" t="s">
        <v>206</v>
      </c>
      <c r="C314" s="101"/>
      <c r="D314" s="93">
        <f ca="1">SUMIF('JURNAL UMUM'!$A$11:$G$108,B309,'JURNAL UMUM'!$F$11:$F$108)</f>
        <v>175000</v>
      </c>
      <c r="E314" s="93">
        <f ca="1">SUMIF('JURNAL UMUM'!$A$11:$G$108,B309,'JURNAL UMUM'!$G$11:$G$108)</f>
        <v>0</v>
      </c>
      <c r="F314" s="91">
        <f ca="1">F313-C314+D314</f>
        <v>175000</v>
      </c>
      <c r="G314" s="91"/>
    </row>
    <row r="315" spans="1:7">
      <c r="A315" s="114"/>
      <c r="B315" s="115"/>
      <c r="C315" s="115"/>
      <c r="D315" s="116"/>
      <c r="E315" s="116"/>
      <c r="F315" s="116"/>
      <c r="G315" s="117"/>
    </row>
    <row r="316" spans="1:7">
      <c r="A316" s="63"/>
      <c r="B316" s="63"/>
      <c r="C316" s="63"/>
      <c r="D316" s="118"/>
      <c r="E316" s="118"/>
      <c r="F316" s="118"/>
      <c r="G316" s="118"/>
    </row>
    <row r="317" spans="1:7">
      <c r="A317" s="63"/>
      <c r="B317" s="63"/>
      <c r="C317" s="63"/>
      <c r="D317" s="63"/>
      <c r="E317" s="63"/>
      <c r="F317" s="63"/>
      <c r="G317" s="63"/>
    </row>
    <row r="318" spans="1:7">
      <c r="A318" s="119" t="s">
        <v>207</v>
      </c>
      <c r="B318" s="77">
        <v>61005</v>
      </c>
      <c r="C318" s="77"/>
      <c r="D318" s="78"/>
      <c r="E318" s="78"/>
      <c r="F318" s="78"/>
      <c r="G318" s="79"/>
    </row>
    <row r="319" spans="1:7">
      <c r="A319" s="120" t="s">
        <v>208</v>
      </c>
      <c r="B319" s="30" t="str">
        <f>VLOOKUP(B318,'MATER AKUN'!$A$7:$B$71,2,FALSE)</f>
        <v>Beban telepon</v>
      </c>
      <c r="C319" s="28"/>
      <c r="D319" s="28"/>
      <c r="E319" s="28"/>
      <c r="F319" s="28"/>
      <c r="G319" s="81"/>
    </row>
    <row r="320" spans="1:7">
      <c r="A320" s="300" t="s">
        <v>173</v>
      </c>
      <c r="B320" s="302" t="s">
        <v>174</v>
      </c>
      <c r="C320" s="302" t="s">
        <v>175</v>
      </c>
      <c r="D320" s="302" t="s">
        <v>176</v>
      </c>
      <c r="E320" s="302" t="s">
        <v>177</v>
      </c>
      <c r="F320" s="340" t="s">
        <v>178</v>
      </c>
      <c r="G320" s="341"/>
    </row>
    <row r="321" spans="1:7">
      <c r="A321" s="300"/>
      <c r="B321" s="302"/>
      <c r="C321" s="302"/>
      <c r="D321" s="302"/>
      <c r="E321" s="302"/>
      <c r="F321" s="84" t="s">
        <v>176</v>
      </c>
      <c r="G321" s="85" t="s">
        <v>177</v>
      </c>
    </row>
    <row r="322" spans="1:7">
      <c r="A322" s="88" t="s">
        <v>203</v>
      </c>
      <c r="B322" s="10" t="s">
        <v>179</v>
      </c>
      <c r="C322" s="10"/>
      <c r="D322" s="69"/>
      <c r="E322" s="69"/>
      <c r="F322" s="90">
        <f>VLOOKUP(B318,'MATER AKUN'!$A$7:$D$71,3,FALSE)</f>
        <v>0</v>
      </c>
      <c r="G322" s="124"/>
    </row>
    <row r="323" spans="1:7">
      <c r="A323" s="88" t="s">
        <v>205</v>
      </c>
      <c r="B323" s="101" t="s">
        <v>206</v>
      </c>
      <c r="C323" s="101"/>
      <c r="D323" s="93">
        <f ca="1">SUMIF('JURNAL UMUM'!$A$11:$G$108,B318,'JURNAL UMUM'!$F$11:$F$108)</f>
        <v>212500</v>
      </c>
      <c r="E323" s="93">
        <f ca="1">SUMIF('JURNAL UMUM'!$A$11:$G$108,B318,'JURNAL UMUM'!$G$11:$G$108)</f>
        <v>0</v>
      </c>
      <c r="F323" s="91">
        <f ca="1">F322-C323+D323</f>
        <v>212500</v>
      </c>
      <c r="G323" s="91"/>
    </row>
    <row r="324" spans="1:7">
      <c r="A324" s="114"/>
      <c r="B324" s="115"/>
      <c r="C324" s="115"/>
      <c r="D324" s="116"/>
      <c r="E324" s="116"/>
      <c r="F324" s="116"/>
      <c r="G324" s="117"/>
    </row>
    <row r="325" spans="1:7">
      <c r="A325" s="63"/>
      <c r="B325" s="63"/>
      <c r="C325" s="63"/>
      <c r="D325" s="118"/>
      <c r="E325" s="118"/>
      <c r="F325" s="118"/>
      <c r="G325" s="118"/>
    </row>
    <row r="326" spans="1:7">
      <c r="A326" s="63"/>
      <c r="B326" s="63"/>
      <c r="C326" s="63"/>
      <c r="D326" s="63"/>
      <c r="E326" s="63"/>
      <c r="F326" s="63"/>
      <c r="G326" s="63"/>
    </row>
    <row r="327" spans="1:7">
      <c r="A327" s="119" t="s">
        <v>207</v>
      </c>
      <c r="B327" s="77">
        <v>61006</v>
      </c>
      <c r="C327" s="77"/>
      <c r="D327" s="78"/>
      <c r="E327" s="78"/>
      <c r="F327" s="78"/>
      <c r="G327" s="79"/>
    </row>
    <row r="328" spans="1:7">
      <c r="A328" s="120" t="s">
        <v>208</v>
      </c>
      <c r="B328" s="30" t="str">
        <f>VLOOKUP(B327,'MATER AKUN'!$A$7:$B$71,2,FALSE)</f>
        <v>Beban penyusutan peralatan kantor</v>
      </c>
      <c r="C328" s="28"/>
      <c r="D328" s="28"/>
      <c r="E328" s="28"/>
      <c r="F328" s="28"/>
      <c r="G328" s="81"/>
    </row>
    <row r="329" spans="1:7">
      <c r="A329" s="300" t="s">
        <v>173</v>
      </c>
      <c r="B329" s="302" t="s">
        <v>174</v>
      </c>
      <c r="C329" s="302" t="s">
        <v>175</v>
      </c>
      <c r="D329" s="302" t="s">
        <v>176</v>
      </c>
      <c r="E329" s="302" t="s">
        <v>177</v>
      </c>
      <c r="F329" s="340" t="s">
        <v>178</v>
      </c>
      <c r="G329" s="341"/>
    </row>
    <row r="330" spans="1:7">
      <c r="A330" s="300"/>
      <c r="B330" s="302"/>
      <c r="C330" s="302"/>
      <c r="D330" s="302"/>
      <c r="E330" s="302"/>
      <c r="F330" s="84" t="s">
        <v>176</v>
      </c>
      <c r="G330" s="85" t="s">
        <v>177</v>
      </c>
    </row>
    <row r="331" spans="1:7">
      <c r="A331" s="88" t="s">
        <v>203</v>
      </c>
      <c r="B331" s="10" t="s">
        <v>179</v>
      </c>
      <c r="C331" s="10"/>
      <c r="D331" s="69"/>
      <c r="E331" s="69"/>
      <c r="F331" s="90">
        <f>VLOOKUP(B327,'MATER AKUN'!$A$7:$D$71,3,FALSE)</f>
        <v>0</v>
      </c>
      <c r="G331" s="124"/>
    </row>
    <row r="332" spans="1:7">
      <c r="A332" s="88" t="s">
        <v>205</v>
      </c>
      <c r="B332" s="101" t="s">
        <v>206</v>
      </c>
      <c r="C332" s="101"/>
      <c r="D332" s="93">
        <f ca="1">SUMIF('JURNAL UMUM'!$A$9:$G$120,B327,'JURNAL UMUM'!$F$9:$F$120)</f>
        <v>400000</v>
      </c>
      <c r="E332" s="93">
        <f ca="1">SUMIF('JURNAL UMUM'!$A$11:$G$108,B327,'JURNAL UMUM'!$G$11:$G$108)</f>
        <v>0</v>
      </c>
      <c r="F332" s="91">
        <f ca="1">F331-C332+D332</f>
        <v>400000</v>
      </c>
      <c r="G332" s="91"/>
    </row>
    <row r="333" spans="1:7">
      <c r="A333" s="114"/>
      <c r="B333" s="115"/>
      <c r="C333" s="115"/>
      <c r="D333" s="116"/>
      <c r="E333" s="116"/>
      <c r="F333" s="116"/>
      <c r="G333" s="117"/>
    </row>
    <row r="334" spans="1:7">
      <c r="A334" s="63"/>
      <c r="B334" s="63"/>
      <c r="C334" s="63"/>
      <c r="D334" s="118"/>
      <c r="E334" s="118"/>
      <c r="F334" s="118"/>
      <c r="G334" s="118"/>
    </row>
    <row r="335" spans="1:7">
      <c r="A335" s="63"/>
      <c r="B335" s="63"/>
      <c r="C335" s="63"/>
      <c r="D335" s="63"/>
      <c r="E335" s="63"/>
      <c r="F335" s="63"/>
      <c r="G335" s="63"/>
    </row>
    <row r="336" spans="1:7">
      <c r="A336" s="119" t="s">
        <v>207</v>
      </c>
      <c r="B336" s="77">
        <v>61007</v>
      </c>
      <c r="C336" s="77"/>
      <c r="D336" s="78"/>
      <c r="E336" s="78"/>
      <c r="F336" s="78"/>
      <c r="G336" s="79"/>
    </row>
    <row r="337" spans="1:7">
      <c r="A337" s="120" t="s">
        <v>208</v>
      </c>
      <c r="B337" s="30" t="str">
        <f>VLOOKUP(B336,'MATER AKUN'!$A$7:$B$71,2,FALSE)</f>
        <v>Beban penyusutan kendaraan</v>
      </c>
      <c r="C337" s="28"/>
      <c r="D337" s="28"/>
      <c r="E337" s="28"/>
      <c r="F337" s="28"/>
      <c r="G337" s="81"/>
    </row>
    <row r="338" spans="1:7">
      <c r="A338" s="300" t="s">
        <v>173</v>
      </c>
      <c r="B338" s="302" t="s">
        <v>174</v>
      </c>
      <c r="C338" s="302" t="s">
        <v>175</v>
      </c>
      <c r="D338" s="302" t="s">
        <v>176</v>
      </c>
      <c r="E338" s="302" t="s">
        <v>177</v>
      </c>
      <c r="F338" s="340" t="s">
        <v>178</v>
      </c>
      <c r="G338" s="341"/>
    </row>
    <row r="339" spans="1:7">
      <c r="A339" s="300"/>
      <c r="B339" s="302"/>
      <c r="C339" s="302"/>
      <c r="D339" s="302"/>
      <c r="E339" s="302"/>
      <c r="F339" s="84" t="s">
        <v>176</v>
      </c>
      <c r="G339" s="85" t="s">
        <v>177</v>
      </c>
    </row>
    <row r="340" spans="1:7">
      <c r="A340" s="88" t="s">
        <v>203</v>
      </c>
      <c r="B340" s="10" t="s">
        <v>179</v>
      </c>
      <c r="C340" s="10"/>
      <c r="D340" s="69"/>
      <c r="E340" s="69"/>
      <c r="F340" s="90">
        <f>VLOOKUP(B336,'MATER AKUN'!$A$7:$D$71,3,FALSE)</f>
        <v>0</v>
      </c>
      <c r="G340" s="124"/>
    </row>
    <row r="341" spans="1:7">
      <c r="A341" s="88" t="s">
        <v>205</v>
      </c>
      <c r="B341" s="101" t="s">
        <v>206</v>
      </c>
      <c r="C341" s="101"/>
      <c r="D341" s="93">
        <f ca="1">SUMIF('JURNAL UMUM'!$A$9:$G$120,B336,'JURNAL UMUM'!$F$9:$F$120)</f>
        <v>500000</v>
      </c>
      <c r="E341" s="93">
        <f ca="1">SUMIF('JURNAL UMUM'!$A$11:$G$108,B336,'JURNAL UMUM'!$G$11:$G$108)</f>
        <v>0</v>
      </c>
      <c r="F341" s="91">
        <f ca="1">F340-C341+D341</f>
        <v>500000</v>
      </c>
      <c r="G341" s="91"/>
    </row>
    <row r="342" spans="1:7">
      <c r="A342" s="114"/>
      <c r="B342" s="115"/>
      <c r="C342" s="115"/>
      <c r="D342" s="116"/>
      <c r="E342" s="116"/>
      <c r="F342" s="116"/>
      <c r="G342" s="117"/>
    </row>
    <row r="343" spans="1:7">
      <c r="A343" s="63"/>
      <c r="B343" s="63"/>
      <c r="C343" s="63"/>
      <c r="D343" s="118"/>
      <c r="E343" s="118"/>
      <c r="F343" s="118"/>
      <c r="G343" s="118"/>
    </row>
    <row r="344" spans="1:7">
      <c r="A344" s="63"/>
      <c r="B344" s="63"/>
      <c r="C344" s="63"/>
      <c r="D344" s="63"/>
      <c r="E344" s="63"/>
      <c r="F344" s="63"/>
      <c r="G344" s="63"/>
    </row>
    <row r="345" spans="1:7">
      <c r="A345" s="119" t="s">
        <v>207</v>
      </c>
      <c r="B345" s="77">
        <v>61008</v>
      </c>
      <c r="C345" s="77"/>
      <c r="D345" s="78"/>
      <c r="E345" s="78"/>
      <c r="F345" s="78"/>
      <c r="G345" s="79"/>
    </row>
    <row r="346" spans="1:7">
      <c r="A346" s="120" t="s">
        <v>208</v>
      </c>
      <c r="B346" s="125" t="str">
        <f>VLOOKUP(B345,'MATER AKUN'!$A$7:$B$71,2,FALSE)</f>
        <v>Beban Pemasaran</v>
      </c>
      <c r="C346" s="34"/>
      <c r="D346" s="34"/>
      <c r="E346" s="34"/>
      <c r="F346" s="34"/>
      <c r="G346" s="81"/>
    </row>
    <row r="347" spans="1:7">
      <c r="A347" s="300" t="s">
        <v>173</v>
      </c>
      <c r="B347" s="302" t="s">
        <v>174</v>
      </c>
      <c r="C347" s="302" t="s">
        <v>175</v>
      </c>
      <c r="D347" s="302" t="s">
        <v>176</v>
      </c>
      <c r="E347" s="302" t="s">
        <v>177</v>
      </c>
      <c r="F347" s="340" t="s">
        <v>178</v>
      </c>
      <c r="G347" s="341"/>
    </row>
    <row r="348" spans="1:7">
      <c r="A348" s="300"/>
      <c r="B348" s="302"/>
      <c r="C348" s="302"/>
      <c r="D348" s="302"/>
      <c r="E348" s="302"/>
      <c r="F348" s="84" t="s">
        <v>176</v>
      </c>
      <c r="G348" s="85" t="s">
        <v>177</v>
      </c>
    </row>
    <row r="349" spans="1:7">
      <c r="A349" s="126" t="s">
        <v>203</v>
      </c>
      <c r="B349" s="111" t="s">
        <v>179</v>
      </c>
      <c r="C349" s="111"/>
      <c r="D349" s="127"/>
      <c r="E349" s="127"/>
      <c r="F349" s="128">
        <f>VLOOKUP(B345,'MATER AKUN'!$A$7:$D$71,3,FALSE)</f>
        <v>0</v>
      </c>
      <c r="G349" s="129"/>
    </row>
    <row r="350" spans="1:7">
      <c r="A350" s="88" t="s">
        <v>205</v>
      </c>
      <c r="B350" s="89" t="s">
        <v>206</v>
      </c>
      <c r="C350" s="89"/>
      <c r="D350" s="113">
        <f ca="1">SUMIF('JURNAL UMUM'!$A$11:$G$108,B345,'JURNAL UMUM'!$F$11:$F$108)</f>
        <v>750000</v>
      </c>
      <c r="E350" s="113">
        <f ca="1">SUMIF('JURNAL UMUM'!$A$11:$G$108,B345,'JURNAL UMUM'!$G$11:$G$108)</f>
        <v>0</v>
      </c>
      <c r="F350" s="90">
        <f ca="1">F349-C350+D350</f>
        <v>750000</v>
      </c>
      <c r="G350" s="91"/>
    </row>
    <row r="351" spans="1:7">
      <c r="A351" s="114"/>
      <c r="B351" s="115"/>
      <c r="C351" s="115"/>
      <c r="D351" s="116"/>
      <c r="E351" s="116"/>
      <c r="F351" s="116"/>
      <c r="G351" s="117"/>
    </row>
    <row r="352" spans="1:7">
      <c r="A352" s="63"/>
      <c r="B352" s="63"/>
      <c r="C352" s="63"/>
      <c r="D352" s="118"/>
      <c r="E352" s="118"/>
      <c r="F352" s="118"/>
      <c r="G352" s="118"/>
    </row>
    <row r="353" spans="1:7">
      <c r="A353" s="63"/>
      <c r="B353" s="63"/>
      <c r="C353" s="63"/>
      <c r="D353" s="63"/>
      <c r="E353" s="63"/>
      <c r="F353" s="63"/>
      <c r="G353" s="63"/>
    </row>
    <row r="354" spans="1:7">
      <c r="A354" s="119" t="s">
        <v>207</v>
      </c>
      <c r="B354" s="77">
        <v>61009</v>
      </c>
      <c r="C354" s="77"/>
      <c r="D354" s="78"/>
      <c r="E354" s="78"/>
      <c r="F354" s="78"/>
      <c r="G354" s="79"/>
    </row>
    <row r="355" spans="1:7">
      <c r="A355" s="120" t="s">
        <v>208</v>
      </c>
      <c r="B355" s="30" t="str">
        <f>VLOOKUP(B354,'MATER AKUN'!$A$7:$B$71,2,FALSE)</f>
        <v>Beban transportasi</v>
      </c>
      <c r="C355" s="28"/>
      <c r="D355" s="28"/>
      <c r="E355" s="28"/>
      <c r="F355" s="28"/>
      <c r="G355" s="81"/>
    </row>
    <row r="356" spans="1:7">
      <c r="A356" s="300" t="s">
        <v>173</v>
      </c>
      <c r="B356" s="302" t="s">
        <v>174</v>
      </c>
      <c r="C356" s="302" t="s">
        <v>175</v>
      </c>
      <c r="D356" s="302" t="s">
        <v>176</v>
      </c>
      <c r="E356" s="302" t="s">
        <v>177</v>
      </c>
      <c r="F356" s="340" t="s">
        <v>178</v>
      </c>
      <c r="G356" s="341"/>
    </row>
    <row r="357" spans="1:7">
      <c r="A357" s="300"/>
      <c r="B357" s="302"/>
      <c r="C357" s="302"/>
      <c r="D357" s="302"/>
      <c r="E357" s="302"/>
      <c r="F357" s="84" t="s">
        <v>176</v>
      </c>
      <c r="G357" s="85" t="s">
        <v>177</v>
      </c>
    </row>
    <row r="358" spans="1:7">
      <c r="A358" s="88" t="s">
        <v>203</v>
      </c>
      <c r="B358" s="10" t="s">
        <v>179</v>
      </c>
      <c r="C358" s="10"/>
      <c r="D358" s="69"/>
      <c r="E358" s="69"/>
      <c r="F358" s="90">
        <f>VLOOKUP(B354,'MATER AKUN'!$A$7:$D$71,3,FALSE)</f>
        <v>0</v>
      </c>
      <c r="G358" s="124"/>
    </row>
    <row r="359" spans="1:7">
      <c r="A359" s="88" t="s">
        <v>205</v>
      </c>
      <c r="B359" s="101" t="s">
        <v>206</v>
      </c>
      <c r="C359" s="101"/>
      <c r="D359" s="93">
        <f ca="1">SUMIF('JURNAL UMUM'!$A$11:$G$108,B354,'JURNAL UMUM'!$F$11:$F$108)</f>
        <v>250000</v>
      </c>
      <c r="E359" s="93">
        <f ca="1">SUMIF('JURNAL UMUM'!$A$11:$G$108,B354,'JURNAL UMUM'!$G$11:$G$108)</f>
        <v>0</v>
      </c>
      <c r="F359" s="91">
        <f ca="1">F358-C359+D359</f>
        <v>250000</v>
      </c>
      <c r="G359" s="91"/>
    </row>
    <row r="360" spans="1:7">
      <c r="A360" s="114"/>
      <c r="B360" s="115"/>
      <c r="C360" s="115"/>
      <c r="D360" s="116"/>
      <c r="E360" s="116"/>
      <c r="F360" s="116"/>
      <c r="G360" s="117"/>
    </row>
    <row r="361" spans="1:7">
      <c r="A361" s="63"/>
      <c r="B361" s="63"/>
      <c r="C361" s="63"/>
      <c r="D361" s="118"/>
      <c r="E361" s="118"/>
      <c r="F361" s="118"/>
      <c r="G361" s="118"/>
    </row>
    <row r="362" spans="1:7">
      <c r="A362" s="63"/>
      <c r="B362" s="63"/>
      <c r="C362" s="63"/>
      <c r="D362" s="63"/>
      <c r="E362" s="63"/>
      <c r="F362" s="63"/>
      <c r="G362" s="63"/>
    </row>
    <row r="363" spans="1:7">
      <c r="A363" s="119" t="s">
        <v>207</v>
      </c>
      <c r="B363" s="77">
        <v>61010</v>
      </c>
      <c r="C363" s="77"/>
      <c r="D363" s="78"/>
      <c r="E363" s="78"/>
      <c r="F363" s="78"/>
      <c r="G363" s="79"/>
    </row>
    <row r="364" spans="1:7">
      <c r="A364" s="120" t="s">
        <v>208</v>
      </c>
      <c r="B364" s="30" t="str">
        <f>VLOOKUP(B363,'MATER AKUN'!$A$7:$B$71,2,FALSE)</f>
        <v>Beban perawatan ac</v>
      </c>
      <c r="C364" s="28"/>
      <c r="D364" s="28"/>
      <c r="E364" s="28"/>
      <c r="F364" s="28"/>
      <c r="G364" s="81"/>
    </row>
    <row r="365" spans="1:7">
      <c r="A365" s="300" t="s">
        <v>173</v>
      </c>
      <c r="B365" s="302" t="s">
        <v>174</v>
      </c>
      <c r="C365" s="302" t="s">
        <v>175</v>
      </c>
      <c r="D365" s="302" t="s">
        <v>176</v>
      </c>
      <c r="E365" s="302" t="s">
        <v>177</v>
      </c>
      <c r="F365" s="340" t="s">
        <v>178</v>
      </c>
      <c r="G365" s="341"/>
    </row>
    <row r="366" spans="1:7">
      <c r="A366" s="300"/>
      <c r="B366" s="302"/>
      <c r="C366" s="302"/>
      <c r="D366" s="302"/>
      <c r="E366" s="302"/>
      <c r="F366" s="84" t="s">
        <v>176</v>
      </c>
      <c r="G366" s="85" t="s">
        <v>177</v>
      </c>
    </row>
    <row r="367" spans="1:7">
      <c r="A367" s="88" t="s">
        <v>203</v>
      </c>
      <c r="B367" s="10" t="s">
        <v>179</v>
      </c>
      <c r="C367" s="10"/>
      <c r="D367" s="69"/>
      <c r="E367" s="69"/>
      <c r="F367" s="90">
        <f>VLOOKUP(B363,'MATER AKUN'!$A$7:$D$71,3,FALSE)</f>
        <v>0</v>
      </c>
      <c r="G367" s="124"/>
    </row>
    <row r="368" spans="1:7">
      <c r="A368" s="88" t="s">
        <v>205</v>
      </c>
      <c r="B368" s="101" t="s">
        <v>206</v>
      </c>
      <c r="C368" s="101"/>
      <c r="D368" s="93">
        <f ca="1">SUMIF('JURNAL UMUM'!$A$11:$G$108,B363,'JURNAL UMUM'!$F$11:$F$108)</f>
        <v>200000</v>
      </c>
      <c r="E368" s="93">
        <f ca="1">SUMIF('JURNAL UMUM'!$A$11:$G$108,B363,'JURNAL UMUM'!$G$11:$G$108)</f>
        <v>0</v>
      </c>
      <c r="F368" s="91">
        <f ca="1">F367-C368+D368</f>
        <v>200000</v>
      </c>
      <c r="G368" s="91"/>
    </row>
    <row r="369" spans="1:7">
      <c r="A369" s="114"/>
      <c r="B369" s="115"/>
      <c r="C369" s="115"/>
      <c r="D369" s="116"/>
      <c r="E369" s="116"/>
      <c r="F369" s="116"/>
      <c r="G369" s="117"/>
    </row>
    <row r="370" spans="1:7">
      <c r="A370" s="63"/>
      <c r="B370" s="63"/>
      <c r="C370" s="63"/>
      <c r="D370" s="118"/>
      <c r="E370" s="118"/>
      <c r="F370" s="118"/>
      <c r="G370" s="118"/>
    </row>
    <row r="371" spans="1:7">
      <c r="A371" s="63"/>
      <c r="B371" s="63"/>
      <c r="C371" s="63"/>
      <c r="D371" s="63"/>
      <c r="E371" s="63"/>
      <c r="F371" s="63"/>
      <c r="G371" s="63"/>
    </row>
    <row r="372" spans="1:7">
      <c r="A372" s="119" t="s">
        <v>207</v>
      </c>
      <c r="B372" s="77">
        <v>61011</v>
      </c>
      <c r="C372" s="77"/>
      <c r="D372" s="78"/>
      <c r="E372" s="78"/>
      <c r="F372" s="78"/>
      <c r="G372" s="79"/>
    </row>
    <row r="373" spans="1:7">
      <c r="A373" s="120" t="s">
        <v>208</v>
      </c>
      <c r="B373" s="30" t="str">
        <f>VLOOKUP(B372,'MATER AKUN'!$A$7:$B$71,2,FALSE)</f>
        <v>Beban perlengkapan kantor</v>
      </c>
      <c r="C373" s="28"/>
      <c r="D373" s="28"/>
      <c r="E373" s="28"/>
      <c r="F373" s="28"/>
      <c r="G373" s="81"/>
    </row>
    <row r="374" spans="1:7">
      <c r="A374" s="300" t="s">
        <v>173</v>
      </c>
      <c r="B374" s="302" t="s">
        <v>174</v>
      </c>
      <c r="C374" s="302" t="s">
        <v>175</v>
      </c>
      <c r="D374" s="302" t="s">
        <v>176</v>
      </c>
      <c r="E374" s="302" t="s">
        <v>177</v>
      </c>
      <c r="F374" s="340" t="s">
        <v>178</v>
      </c>
      <c r="G374" s="341"/>
    </row>
    <row r="375" spans="1:7">
      <c r="A375" s="300"/>
      <c r="B375" s="302"/>
      <c r="C375" s="302"/>
      <c r="D375" s="302"/>
      <c r="E375" s="302"/>
      <c r="F375" s="84" t="s">
        <v>176</v>
      </c>
      <c r="G375" s="85" t="s">
        <v>177</v>
      </c>
    </row>
    <row r="376" spans="1:7">
      <c r="A376" s="88" t="s">
        <v>203</v>
      </c>
      <c r="B376" s="10" t="s">
        <v>179</v>
      </c>
      <c r="C376" s="10"/>
      <c r="D376" s="69"/>
      <c r="E376" s="69"/>
      <c r="F376" s="90">
        <f>VLOOKUP(B372,'MATER AKUN'!$A$7:$D$71,3,FALSE)</f>
        <v>0</v>
      </c>
      <c r="G376" s="124"/>
    </row>
    <row r="377" spans="1:7">
      <c r="A377" s="88" t="s">
        <v>205</v>
      </c>
      <c r="B377" s="101" t="s">
        <v>206</v>
      </c>
      <c r="C377" s="101"/>
      <c r="D377" s="93">
        <f ca="1">SUMIF('JURNAL UMUM'!$A$11:$G$108,B372,'JURNAL UMUM'!$F$11:$F$108)</f>
        <v>50000</v>
      </c>
      <c r="E377" s="93">
        <f ca="1">SUMIF('JURNAL UMUM'!$A$11:$G$108,B372,'JURNAL UMUM'!$G$11:$G$108)</f>
        <v>0</v>
      </c>
      <c r="F377" s="91">
        <f ca="1">F376-C377+D377</f>
        <v>50000</v>
      </c>
      <c r="G377" s="91"/>
    </row>
    <row r="378" spans="1:7">
      <c r="A378" s="114"/>
      <c r="B378" s="115"/>
      <c r="C378" s="115"/>
      <c r="D378" s="116"/>
      <c r="E378" s="116"/>
      <c r="F378" s="116"/>
      <c r="G378" s="117"/>
    </row>
    <row r="379" spans="1:7">
      <c r="A379" s="63"/>
      <c r="B379" s="63"/>
      <c r="C379" s="63"/>
      <c r="D379" s="118"/>
      <c r="E379" s="118"/>
      <c r="F379" s="118"/>
      <c r="G379" s="118"/>
    </row>
    <row r="380" spans="1:7">
      <c r="A380" s="63"/>
      <c r="B380" s="63"/>
      <c r="C380" s="63"/>
      <c r="D380" s="63"/>
      <c r="E380" s="63"/>
      <c r="F380" s="63"/>
      <c r="G380" s="63"/>
    </row>
    <row r="381" spans="1:7">
      <c r="A381" s="119" t="s">
        <v>207</v>
      </c>
      <c r="B381" s="77">
        <v>61099</v>
      </c>
      <c r="C381" s="77"/>
      <c r="D381" s="78"/>
      <c r="E381" s="78"/>
      <c r="F381" s="78"/>
      <c r="G381" s="79"/>
    </row>
    <row r="382" spans="1:7">
      <c r="A382" s="120" t="s">
        <v>208</v>
      </c>
      <c r="B382" s="30" t="str">
        <f>VLOOKUP(B381,'MATER AKUN'!$A$7:$B$71,2,FALSE)</f>
        <v>Beban umum lain lain</v>
      </c>
      <c r="C382" s="28"/>
      <c r="D382" s="28"/>
      <c r="E382" s="28"/>
      <c r="F382" s="28"/>
      <c r="G382" s="81"/>
    </row>
    <row r="383" spans="1:7">
      <c r="A383" s="300" t="s">
        <v>173</v>
      </c>
      <c r="B383" s="302" t="s">
        <v>174</v>
      </c>
      <c r="C383" s="302" t="s">
        <v>175</v>
      </c>
      <c r="D383" s="302" t="s">
        <v>176</v>
      </c>
      <c r="E383" s="302" t="s">
        <v>177</v>
      </c>
      <c r="F383" s="340" t="s">
        <v>178</v>
      </c>
      <c r="G383" s="341"/>
    </row>
    <row r="384" spans="1:7">
      <c r="A384" s="300"/>
      <c r="B384" s="302"/>
      <c r="C384" s="302"/>
      <c r="D384" s="302"/>
      <c r="E384" s="302"/>
      <c r="F384" s="84" t="s">
        <v>176</v>
      </c>
      <c r="G384" s="85"/>
    </row>
    <row r="385" spans="1:7">
      <c r="A385" s="88" t="s">
        <v>203</v>
      </c>
      <c r="B385" s="10" t="s">
        <v>179</v>
      </c>
      <c r="C385" s="10"/>
      <c r="D385" s="69"/>
      <c r="E385" s="69"/>
      <c r="F385" s="90">
        <f>VLOOKUP(B381,'MATER AKUN'!$A$7:$D$71,3,FALSE)</f>
        <v>0</v>
      </c>
      <c r="G385" s="124"/>
    </row>
    <row r="386" spans="1:7">
      <c r="A386" s="88" t="s">
        <v>205</v>
      </c>
      <c r="B386" s="101" t="s">
        <v>206</v>
      </c>
      <c r="C386" s="101"/>
      <c r="D386" s="93">
        <f ca="1">SUMIF('JURNAL UMUM'!$A$11:$G$108,B381,'JURNAL UMUM'!$F$11:$F$108)</f>
        <v>0</v>
      </c>
      <c r="E386" s="93">
        <f ca="1">SUMIF('JURNAL UMUM'!$A$11:$G$108,B381,'JURNAL UMUM'!$G$11:$G$108)</f>
        <v>0</v>
      </c>
      <c r="F386" s="91">
        <f ca="1">F385-C386+D386</f>
        <v>0</v>
      </c>
      <c r="G386" s="91"/>
    </row>
    <row r="387" spans="1:7">
      <c r="A387" s="130"/>
      <c r="B387" s="101"/>
      <c r="C387" s="101"/>
      <c r="D387" s="93"/>
      <c r="E387" s="93"/>
      <c r="F387" s="131"/>
      <c r="G387" s="96"/>
    </row>
    <row r="388" spans="1:7">
      <c r="A388" s="114"/>
      <c r="B388" s="115"/>
      <c r="C388" s="115"/>
      <c r="D388" s="116"/>
      <c r="E388" s="116"/>
      <c r="F388" s="116"/>
      <c r="G388" s="117"/>
    </row>
    <row r="389" spans="1:7">
      <c r="A389" s="132"/>
      <c r="B389" s="133"/>
      <c r="C389" s="133"/>
      <c r="D389" s="133"/>
      <c r="E389" s="133"/>
      <c r="F389" s="133"/>
      <c r="G389" s="134"/>
    </row>
    <row r="390" spans="1:7">
      <c r="A390" s="120" t="s">
        <v>207</v>
      </c>
      <c r="B390" s="30">
        <v>81001</v>
      </c>
      <c r="C390" s="30"/>
      <c r="D390" s="28"/>
      <c r="E390" s="28"/>
      <c r="F390" s="28"/>
      <c r="G390" s="81"/>
    </row>
    <row r="391" spans="1:7">
      <c r="A391" s="120" t="s">
        <v>208</v>
      </c>
      <c r="B391" s="30" t="str">
        <f>VLOOKUP(B390,'MATER AKUN'!$A$7:$B$71,2,FALSE)</f>
        <v>Laba penjualan aktiva tetap</v>
      </c>
      <c r="C391" s="28"/>
      <c r="D391" s="28"/>
      <c r="E391" s="28"/>
      <c r="F391" s="28"/>
      <c r="G391" s="81"/>
    </row>
    <row r="392" spans="1:7">
      <c r="A392" s="300" t="s">
        <v>173</v>
      </c>
      <c r="B392" s="302" t="s">
        <v>174</v>
      </c>
      <c r="C392" s="302" t="s">
        <v>175</v>
      </c>
      <c r="D392" s="302" t="s">
        <v>176</v>
      </c>
      <c r="E392" s="302" t="s">
        <v>177</v>
      </c>
      <c r="F392" s="340" t="s">
        <v>178</v>
      </c>
      <c r="G392" s="341"/>
    </row>
    <row r="393" spans="1:7">
      <c r="A393" s="300"/>
      <c r="B393" s="302"/>
      <c r="C393" s="302"/>
      <c r="D393" s="302"/>
      <c r="E393" s="302"/>
      <c r="F393" s="84" t="s">
        <v>176</v>
      </c>
      <c r="G393" s="85" t="s">
        <v>177</v>
      </c>
    </row>
    <row r="394" spans="1:7">
      <c r="A394" s="88" t="s">
        <v>203</v>
      </c>
      <c r="B394" s="10" t="s">
        <v>179</v>
      </c>
      <c r="C394" s="10"/>
      <c r="D394" s="69"/>
      <c r="E394" s="69"/>
      <c r="F394" s="90"/>
      <c r="G394" s="91">
        <f>VLOOKUP(B390,'MATER AKUN'!$A$7:$D$71,4,FALSE)</f>
        <v>0</v>
      </c>
    </row>
    <row r="395" spans="1:7">
      <c r="A395" s="88" t="s">
        <v>205</v>
      </c>
      <c r="B395" s="101" t="s">
        <v>206</v>
      </c>
      <c r="C395" s="101"/>
      <c r="D395" s="93">
        <f ca="1">SUMIF('JURNAL UMUM'!$A$11:$G$108,B390,'JURNAL UMUM'!$F$11:$F$108)</f>
        <v>0</v>
      </c>
      <c r="E395" s="93">
        <f ca="1">SUMIF('JURNAL UMUM'!$A$11:$G$108,B390,'JURNAL UMUM'!$G$11:$G$108)</f>
        <v>1000000</v>
      </c>
      <c r="F395" s="103"/>
      <c r="G395" s="135">
        <f ca="1">H394+E395-F395</f>
        <v>1000000</v>
      </c>
    </row>
    <row r="396" spans="1:7">
      <c r="A396" s="114"/>
      <c r="B396" s="115"/>
      <c r="C396" s="115"/>
      <c r="D396" s="116"/>
      <c r="E396" s="116"/>
      <c r="F396" s="116"/>
      <c r="G396" s="117"/>
    </row>
    <row r="397" spans="1:7">
      <c r="A397" s="63"/>
      <c r="B397" s="63"/>
      <c r="C397" s="63"/>
      <c r="D397" s="118"/>
      <c r="E397" s="118"/>
      <c r="F397" s="118"/>
      <c r="G397" s="118"/>
    </row>
    <row r="398" spans="1:7">
      <c r="A398" s="63"/>
      <c r="B398" s="63"/>
      <c r="C398" s="63"/>
      <c r="D398" s="63"/>
      <c r="E398" s="63"/>
      <c r="F398" s="63"/>
      <c r="G398" s="63"/>
    </row>
    <row r="399" spans="1:7">
      <c r="A399" s="119" t="s">
        <v>207</v>
      </c>
      <c r="B399" s="77">
        <v>81002</v>
      </c>
      <c r="C399" s="77"/>
      <c r="D399" s="78"/>
      <c r="E399" s="78"/>
      <c r="F399" s="78"/>
      <c r="G399" s="79"/>
    </row>
    <row r="400" spans="1:7">
      <c r="A400" s="120" t="s">
        <v>208</v>
      </c>
      <c r="B400" s="30" t="str">
        <f>VLOOKUP(B399,'MATER AKUN'!$A$7:$B$71,2,FALSE)</f>
        <v>Pendapatan jasa giro</v>
      </c>
      <c r="C400" s="28"/>
      <c r="D400" s="28"/>
      <c r="E400" s="28"/>
      <c r="F400" s="28"/>
      <c r="G400" s="81"/>
    </row>
    <row r="401" spans="1:7">
      <c r="A401" s="300" t="s">
        <v>173</v>
      </c>
      <c r="B401" s="302" t="s">
        <v>174</v>
      </c>
      <c r="C401" s="302" t="s">
        <v>175</v>
      </c>
      <c r="D401" s="302" t="s">
        <v>176</v>
      </c>
      <c r="E401" s="302" t="s">
        <v>177</v>
      </c>
      <c r="F401" s="340" t="s">
        <v>178</v>
      </c>
      <c r="G401" s="341"/>
    </row>
    <row r="402" spans="1:7">
      <c r="A402" s="300"/>
      <c r="B402" s="302"/>
      <c r="C402" s="302"/>
      <c r="D402" s="302"/>
      <c r="E402" s="302"/>
      <c r="F402" s="84" t="s">
        <v>176</v>
      </c>
      <c r="G402" s="85" t="s">
        <v>177</v>
      </c>
    </row>
    <row r="403" spans="1:7">
      <c r="A403" s="88" t="s">
        <v>203</v>
      </c>
      <c r="B403" s="10" t="s">
        <v>179</v>
      </c>
      <c r="C403" s="10"/>
      <c r="D403" s="69"/>
      <c r="E403" s="69"/>
      <c r="F403" s="69"/>
      <c r="G403" s="91">
        <f>VLOOKUP(B399,'MATER AKUN'!$A$7:$D$71,4,FALSE)</f>
        <v>0</v>
      </c>
    </row>
    <row r="404" spans="1:7">
      <c r="A404" s="88" t="s">
        <v>205</v>
      </c>
      <c r="B404" s="101" t="s">
        <v>206</v>
      </c>
      <c r="C404" s="101"/>
      <c r="D404" s="93">
        <f ca="1">SUMIF('JURNAL UMUM'!$A$11:$G$108,B399,'JURNAL UMUM'!$F$11:$F$108)</f>
        <v>0</v>
      </c>
      <c r="E404" s="93">
        <f ca="1">SUMIF('JURNAL UMUM'!$A$9:$G$119,B399,'JURNAL UMUM'!$G$9:$G$120)</f>
        <v>0</v>
      </c>
      <c r="F404" s="103"/>
      <c r="G404" s="135">
        <f ca="1">H403+E404-F404</f>
        <v>0</v>
      </c>
    </row>
    <row r="405" spans="1:7">
      <c r="A405" s="114"/>
      <c r="B405" s="115"/>
      <c r="C405" s="115"/>
      <c r="D405" s="116"/>
      <c r="E405" s="116"/>
      <c r="F405" s="116"/>
      <c r="G405" s="117"/>
    </row>
    <row r="406" spans="1:7">
      <c r="A406" s="63"/>
      <c r="B406" s="63"/>
      <c r="C406" s="63"/>
      <c r="D406" s="118"/>
      <c r="E406" s="118"/>
      <c r="F406" s="118"/>
      <c r="G406" s="118"/>
    </row>
    <row r="407" spans="1:7">
      <c r="A407" s="63"/>
      <c r="B407" s="63"/>
      <c r="C407" s="63"/>
      <c r="D407" s="63"/>
      <c r="E407" s="63"/>
      <c r="F407" s="63"/>
      <c r="G407" s="63"/>
    </row>
    <row r="408" spans="1:7">
      <c r="A408" s="119" t="s">
        <v>207</v>
      </c>
      <c r="B408" s="77">
        <v>91001</v>
      </c>
      <c r="C408" s="77"/>
      <c r="D408" s="78"/>
      <c r="E408" s="78"/>
      <c r="F408" s="78"/>
      <c r="G408" s="79"/>
    </row>
    <row r="409" spans="1:7">
      <c r="A409" s="120" t="s">
        <v>208</v>
      </c>
      <c r="B409" s="30" t="str">
        <f>VLOOKUP(B408,'MATER AKUN'!$A$7:$B$71,2,FALSE)</f>
        <v>Beban Adm. Bank</v>
      </c>
      <c r="C409" s="28"/>
      <c r="D409" s="28"/>
      <c r="E409" s="28"/>
      <c r="F409" s="28"/>
      <c r="G409" s="81"/>
    </row>
    <row r="410" spans="1:7">
      <c r="A410" s="300" t="s">
        <v>173</v>
      </c>
      <c r="B410" s="302" t="s">
        <v>174</v>
      </c>
      <c r="C410" s="302" t="s">
        <v>175</v>
      </c>
      <c r="D410" s="302" t="s">
        <v>176</v>
      </c>
      <c r="E410" s="302" t="s">
        <v>177</v>
      </c>
      <c r="F410" s="340" t="s">
        <v>178</v>
      </c>
      <c r="G410" s="341"/>
    </row>
    <row r="411" spans="1:7">
      <c r="A411" s="300"/>
      <c r="B411" s="302"/>
      <c r="C411" s="302"/>
      <c r="D411" s="302"/>
      <c r="E411" s="302"/>
      <c r="F411" s="84" t="s">
        <v>176</v>
      </c>
      <c r="G411" s="85" t="s">
        <v>177</v>
      </c>
    </row>
    <row r="412" spans="1:7">
      <c r="A412" s="88" t="s">
        <v>203</v>
      </c>
      <c r="B412" s="10" t="s">
        <v>179</v>
      </c>
      <c r="C412" s="10"/>
      <c r="D412" s="69"/>
      <c r="E412" s="69"/>
      <c r="F412" s="90">
        <f>VLOOKUP(B408,'MATER AKUN'!$A$7:$D$71,3,FALSE)</f>
        <v>0</v>
      </c>
      <c r="G412" s="124"/>
    </row>
    <row r="413" spans="1:7">
      <c r="A413" s="88" t="s">
        <v>205</v>
      </c>
      <c r="B413" s="101" t="s">
        <v>206</v>
      </c>
      <c r="C413" s="101"/>
      <c r="D413" s="93">
        <f ca="1">SUMIF('JURNAL UMUM'!$A$9:$G$119,B408,'JURNAL UMUM'!$F$9:$F$119)</f>
        <v>150000</v>
      </c>
      <c r="E413" s="93">
        <f ca="1">SUMIF('JURNAL UMUM'!$A$11:$G$108,B408,'JURNAL UMUM'!$G$11:$G$108)</f>
        <v>0</v>
      </c>
      <c r="F413" s="91">
        <f ca="1">F412-C413+D413</f>
        <v>150000</v>
      </c>
      <c r="G413" s="91"/>
    </row>
    <row r="414" spans="1:7">
      <c r="A414" s="114"/>
      <c r="B414" s="115"/>
      <c r="C414" s="115"/>
      <c r="D414" s="116"/>
      <c r="E414" s="116"/>
      <c r="F414" s="116"/>
      <c r="G414" s="117"/>
    </row>
    <row r="415" spans="1:7">
      <c r="A415" s="63"/>
      <c r="B415" s="63"/>
      <c r="C415" s="63"/>
      <c r="D415" s="118"/>
      <c r="E415" s="118"/>
      <c r="F415" s="118"/>
      <c r="G415" s="118"/>
    </row>
    <row r="416" spans="1:7">
      <c r="A416" s="63"/>
      <c r="B416" s="63"/>
      <c r="C416" s="63"/>
      <c r="D416" s="63"/>
      <c r="E416" s="63"/>
      <c r="F416" s="63"/>
      <c r="G416" s="63"/>
    </row>
    <row r="417" spans="1:7">
      <c r="A417" s="119" t="s">
        <v>207</v>
      </c>
      <c r="B417" s="77">
        <v>91002</v>
      </c>
      <c r="C417" s="77"/>
      <c r="D417" s="78"/>
      <c r="E417" s="78"/>
      <c r="F417" s="78"/>
      <c r="G417" s="79"/>
    </row>
    <row r="418" spans="1:7">
      <c r="A418" s="120" t="s">
        <v>208</v>
      </c>
      <c r="B418" s="30" t="str">
        <f>VLOOKUP(B417,'MATER AKUN'!$A$7:$B$71,2,FALSE)</f>
        <v>Beban Bunga</v>
      </c>
      <c r="C418" s="28"/>
      <c r="D418" s="28"/>
      <c r="E418" s="28"/>
      <c r="F418" s="28"/>
      <c r="G418" s="81"/>
    </row>
    <row r="419" spans="1:7">
      <c r="A419" s="300" t="s">
        <v>173</v>
      </c>
      <c r="B419" s="302" t="s">
        <v>174</v>
      </c>
      <c r="C419" s="302" t="s">
        <v>175</v>
      </c>
      <c r="D419" s="302" t="s">
        <v>176</v>
      </c>
      <c r="E419" s="302" t="s">
        <v>177</v>
      </c>
      <c r="F419" s="340" t="s">
        <v>178</v>
      </c>
      <c r="G419" s="341"/>
    </row>
    <row r="420" spans="1:7">
      <c r="A420" s="300"/>
      <c r="B420" s="302"/>
      <c r="C420" s="302"/>
      <c r="D420" s="302"/>
      <c r="E420" s="302"/>
      <c r="F420" s="84" t="s">
        <v>176</v>
      </c>
      <c r="G420" s="85" t="s">
        <v>177</v>
      </c>
    </row>
    <row r="421" spans="1:7">
      <c r="A421" s="88" t="s">
        <v>203</v>
      </c>
      <c r="B421" s="10" t="s">
        <v>179</v>
      </c>
      <c r="C421" s="10"/>
      <c r="D421" s="69"/>
      <c r="E421" s="69"/>
      <c r="F421" s="90">
        <f>VLOOKUP(B417,'MATER AKUN'!$A$7:$D$71,3,FALSE)</f>
        <v>0</v>
      </c>
      <c r="G421" s="124"/>
    </row>
    <row r="422" spans="1:7">
      <c r="A422" s="88" t="s">
        <v>205</v>
      </c>
      <c r="B422" s="101" t="s">
        <v>206</v>
      </c>
      <c r="C422" s="101"/>
      <c r="D422" s="93">
        <f ca="1">SUMIF('JURNAL UMUM'!$A$9:$G$119,B417,'JURNAL UMUM'!$F$9:$F$119)</f>
        <v>1500000</v>
      </c>
      <c r="E422" s="93">
        <f ca="1">SUMIF('JURNAL UMUM'!$A$11:$G$108,B417,'JURNAL UMUM'!$G$11:$G$108)</f>
        <v>0</v>
      </c>
      <c r="F422" s="91">
        <f ca="1">F421-C422+D422</f>
        <v>1500000</v>
      </c>
      <c r="G422" s="91"/>
    </row>
    <row r="423" spans="1:7">
      <c r="A423" s="114"/>
      <c r="B423" s="115"/>
      <c r="C423" s="115"/>
      <c r="D423" s="116"/>
      <c r="E423" s="116"/>
      <c r="F423" s="116"/>
      <c r="G423" s="117"/>
    </row>
  </sheetData>
  <mergeCells count="273">
    <mergeCell ref="E347:E348"/>
    <mergeCell ref="E356:E357"/>
    <mergeCell ref="E365:E366"/>
    <mergeCell ref="E374:E375"/>
    <mergeCell ref="E383:E384"/>
    <mergeCell ref="E392:E393"/>
    <mergeCell ref="E401:E402"/>
    <mergeCell ref="E410:E411"/>
    <mergeCell ref="E419:E420"/>
    <mergeCell ref="E266:E267"/>
    <mergeCell ref="E275:E276"/>
    <mergeCell ref="E284:E285"/>
    <mergeCell ref="E293:E294"/>
    <mergeCell ref="E302:E303"/>
    <mergeCell ref="E311:E312"/>
    <mergeCell ref="E320:E321"/>
    <mergeCell ref="E329:E330"/>
    <mergeCell ref="E338:E339"/>
    <mergeCell ref="E185:E186"/>
    <mergeCell ref="E194:E195"/>
    <mergeCell ref="E203:E204"/>
    <mergeCell ref="E212:E213"/>
    <mergeCell ref="E221:E222"/>
    <mergeCell ref="E230:E231"/>
    <mergeCell ref="E239:E240"/>
    <mergeCell ref="E248:E249"/>
    <mergeCell ref="E257:E258"/>
    <mergeCell ref="D374:D375"/>
    <mergeCell ref="D383:D384"/>
    <mergeCell ref="D392:D393"/>
    <mergeCell ref="D401:D402"/>
    <mergeCell ref="D410:D411"/>
    <mergeCell ref="D419:D420"/>
    <mergeCell ref="E10:E11"/>
    <mergeCell ref="E20:E21"/>
    <mergeCell ref="E30:E31"/>
    <mergeCell ref="E40:E41"/>
    <mergeCell ref="E50:E51"/>
    <mergeCell ref="E60:E61"/>
    <mergeCell ref="E70:E71"/>
    <mergeCell ref="E80:E81"/>
    <mergeCell ref="E90:E91"/>
    <mergeCell ref="E100:E101"/>
    <mergeCell ref="E110:E111"/>
    <mergeCell ref="E120:E121"/>
    <mergeCell ref="E130:E131"/>
    <mergeCell ref="E140:E141"/>
    <mergeCell ref="E149:E150"/>
    <mergeCell ref="E158:E159"/>
    <mergeCell ref="E167:E168"/>
    <mergeCell ref="E176:E177"/>
    <mergeCell ref="D293:D294"/>
    <mergeCell ref="D302:D303"/>
    <mergeCell ref="D311:D312"/>
    <mergeCell ref="D320:D321"/>
    <mergeCell ref="D329:D330"/>
    <mergeCell ref="D338:D339"/>
    <mergeCell ref="D347:D348"/>
    <mergeCell ref="D356:D357"/>
    <mergeCell ref="D365:D366"/>
    <mergeCell ref="D212:D213"/>
    <mergeCell ref="D221:D222"/>
    <mergeCell ref="D230:D231"/>
    <mergeCell ref="D239:D240"/>
    <mergeCell ref="D248:D249"/>
    <mergeCell ref="D257:D258"/>
    <mergeCell ref="D266:D267"/>
    <mergeCell ref="D275:D276"/>
    <mergeCell ref="D284:D285"/>
    <mergeCell ref="C401:C402"/>
    <mergeCell ref="C410:C411"/>
    <mergeCell ref="C419:C420"/>
    <mergeCell ref="D10:D11"/>
    <mergeCell ref="D20:D21"/>
    <mergeCell ref="D30:D31"/>
    <mergeCell ref="D40:D41"/>
    <mergeCell ref="D50:D51"/>
    <mergeCell ref="D60:D61"/>
    <mergeCell ref="D70:D71"/>
    <mergeCell ref="D80:D81"/>
    <mergeCell ref="D90:D91"/>
    <mergeCell ref="D100:D101"/>
    <mergeCell ref="D110:D111"/>
    <mergeCell ref="D120:D121"/>
    <mergeCell ref="D130:D131"/>
    <mergeCell ref="D140:D141"/>
    <mergeCell ref="D149:D150"/>
    <mergeCell ref="D158:D159"/>
    <mergeCell ref="D167:D168"/>
    <mergeCell ref="D176:D177"/>
    <mergeCell ref="D185:D186"/>
    <mergeCell ref="D194:D195"/>
    <mergeCell ref="D203:D204"/>
    <mergeCell ref="C320:C321"/>
    <mergeCell ref="C329:C330"/>
    <mergeCell ref="C338:C339"/>
    <mergeCell ref="C347:C348"/>
    <mergeCell ref="C356:C357"/>
    <mergeCell ref="C365:C366"/>
    <mergeCell ref="C374:C375"/>
    <mergeCell ref="C383:C384"/>
    <mergeCell ref="C392:C393"/>
    <mergeCell ref="C239:C240"/>
    <mergeCell ref="C248:C249"/>
    <mergeCell ref="C257:C258"/>
    <mergeCell ref="C266:C267"/>
    <mergeCell ref="C275:C276"/>
    <mergeCell ref="C284:C285"/>
    <mergeCell ref="C293:C294"/>
    <mergeCell ref="C302:C303"/>
    <mergeCell ref="C311:C312"/>
    <mergeCell ref="C158:C159"/>
    <mergeCell ref="C167:C168"/>
    <mergeCell ref="C176:C177"/>
    <mergeCell ref="C185:C186"/>
    <mergeCell ref="C194:C195"/>
    <mergeCell ref="C203:C204"/>
    <mergeCell ref="C212:C213"/>
    <mergeCell ref="C221:C222"/>
    <mergeCell ref="C230:C231"/>
    <mergeCell ref="C70:C71"/>
    <mergeCell ref="C80:C81"/>
    <mergeCell ref="C90:C91"/>
    <mergeCell ref="C100:C101"/>
    <mergeCell ref="C110:C111"/>
    <mergeCell ref="C120:C121"/>
    <mergeCell ref="C130:C131"/>
    <mergeCell ref="C140:C141"/>
    <mergeCell ref="C149:C150"/>
    <mergeCell ref="B347:B348"/>
    <mergeCell ref="B356:B357"/>
    <mergeCell ref="B365:B366"/>
    <mergeCell ref="B374:B375"/>
    <mergeCell ref="B383:B384"/>
    <mergeCell ref="B392:B393"/>
    <mergeCell ref="B401:B402"/>
    <mergeCell ref="B410:B411"/>
    <mergeCell ref="B419:B420"/>
    <mergeCell ref="B266:B267"/>
    <mergeCell ref="B275:B276"/>
    <mergeCell ref="B284:B285"/>
    <mergeCell ref="B293:B294"/>
    <mergeCell ref="B302:B303"/>
    <mergeCell ref="B311:B312"/>
    <mergeCell ref="B320:B321"/>
    <mergeCell ref="B329:B330"/>
    <mergeCell ref="B338:B339"/>
    <mergeCell ref="B185:B186"/>
    <mergeCell ref="B194:B195"/>
    <mergeCell ref="B203:B204"/>
    <mergeCell ref="B212:B213"/>
    <mergeCell ref="B221:B222"/>
    <mergeCell ref="B230:B231"/>
    <mergeCell ref="B239:B240"/>
    <mergeCell ref="B248:B249"/>
    <mergeCell ref="B257:B258"/>
    <mergeCell ref="A374:A375"/>
    <mergeCell ref="A383:A384"/>
    <mergeCell ref="A392:A393"/>
    <mergeCell ref="A401:A402"/>
    <mergeCell ref="A410:A411"/>
    <mergeCell ref="A419:A420"/>
    <mergeCell ref="B10:B11"/>
    <mergeCell ref="B20:B21"/>
    <mergeCell ref="B30:B31"/>
    <mergeCell ref="B40:B41"/>
    <mergeCell ref="B50:B51"/>
    <mergeCell ref="B60:B61"/>
    <mergeCell ref="B70:B71"/>
    <mergeCell ref="B80:B81"/>
    <mergeCell ref="B90:B91"/>
    <mergeCell ref="B100:B101"/>
    <mergeCell ref="B110:B111"/>
    <mergeCell ref="B120:B121"/>
    <mergeCell ref="B130:B131"/>
    <mergeCell ref="B140:B141"/>
    <mergeCell ref="B149:B150"/>
    <mergeCell ref="B158:B159"/>
    <mergeCell ref="B167:B168"/>
    <mergeCell ref="B176:B177"/>
    <mergeCell ref="A293:A294"/>
    <mergeCell ref="A302:A303"/>
    <mergeCell ref="A311:A312"/>
    <mergeCell ref="A320:A321"/>
    <mergeCell ref="A329:A330"/>
    <mergeCell ref="A338:A339"/>
    <mergeCell ref="A347:A348"/>
    <mergeCell ref="A356:A357"/>
    <mergeCell ref="A365:A366"/>
    <mergeCell ref="A212:A213"/>
    <mergeCell ref="A221:A222"/>
    <mergeCell ref="A230:A231"/>
    <mergeCell ref="A239:A240"/>
    <mergeCell ref="A248:A249"/>
    <mergeCell ref="A257:A258"/>
    <mergeCell ref="A266:A267"/>
    <mergeCell ref="A275:A276"/>
    <mergeCell ref="A284:A285"/>
    <mergeCell ref="F401:G401"/>
    <mergeCell ref="F410:G410"/>
    <mergeCell ref="F419:G419"/>
    <mergeCell ref="A10:A11"/>
    <mergeCell ref="A20:A21"/>
    <mergeCell ref="A30:A31"/>
    <mergeCell ref="A40:A41"/>
    <mergeCell ref="A50:A51"/>
    <mergeCell ref="A60:A61"/>
    <mergeCell ref="A70:A71"/>
    <mergeCell ref="A80:A81"/>
    <mergeCell ref="A90:A91"/>
    <mergeCell ref="A100:A101"/>
    <mergeCell ref="A110:A111"/>
    <mergeCell ref="A120:A121"/>
    <mergeCell ref="A130:A131"/>
    <mergeCell ref="A140:A141"/>
    <mergeCell ref="A149:A150"/>
    <mergeCell ref="A158:A159"/>
    <mergeCell ref="A167:A168"/>
    <mergeCell ref="A176:A177"/>
    <mergeCell ref="A185:A186"/>
    <mergeCell ref="A194:A195"/>
    <mergeCell ref="A203:A204"/>
    <mergeCell ref="F320:G320"/>
    <mergeCell ref="F329:G329"/>
    <mergeCell ref="F338:G338"/>
    <mergeCell ref="F347:G347"/>
    <mergeCell ref="F356:G356"/>
    <mergeCell ref="F365:G365"/>
    <mergeCell ref="F374:G374"/>
    <mergeCell ref="F383:G383"/>
    <mergeCell ref="F392:G392"/>
    <mergeCell ref="F239:G239"/>
    <mergeCell ref="F248:G248"/>
    <mergeCell ref="F257:G257"/>
    <mergeCell ref="F266:G266"/>
    <mergeCell ref="F275:G275"/>
    <mergeCell ref="F284:G284"/>
    <mergeCell ref="F293:G293"/>
    <mergeCell ref="F302:G302"/>
    <mergeCell ref="F311:G311"/>
    <mergeCell ref="F158:G158"/>
    <mergeCell ref="F167:G167"/>
    <mergeCell ref="F176:G176"/>
    <mergeCell ref="F185:G185"/>
    <mergeCell ref="F194:G194"/>
    <mergeCell ref="F203:G203"/>
    <mergeCell ref="F212:G212"/>
    <mergeCell ref="F221:G221"/>
    <mergeCell ref="F230:G230"/>
    <mergeCell ref="F70:G70"/>
    <mergeCell ref="F80:G80"/>
    <mergeCell ref="F90:G90"/>
    <mergeCell ref="F100:G100"/>
    <mergeCell ref="F110:G110"/>
    <mergeCell ref="F120:G120"/>
    <mergeCell ref="F130:G130"/>
    <mergeCell ref="F140:G140"/>
    <mergeCell ref="F149:G149"/>
    <mergeCell ref="A2:G2"/>
    <mergeCell ref="A3:G3"/>
    <mergeCell ref="A4:G4"/>
    <mergeCell ref="F10:G10"/>
    <mergeCell ref="F20:G20"/>
    <mergeCell ref="F30:G30"/>
    <mergeCell ref="F40:G40"/>
    <mergeCell ref="F50:G50"/>
    <mergeCell ref="F60:G60"/>
    <mergeCell ref="C10:C11"/>
    <mergeCell ref="C20:C21"/>
    <mergeCell ref="C30:C31"/>
    <mergeCell ref="C40:C41"/>
    <mergeCell ref="C50:C51"/>
    <mergeCell ref="C60:C61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'[1]MASTER DATA'!#REF!</xm:f>
          </x14:formula1>
          <xm:sqref>B7 B17 B27 B37 B47 B57 B67 B77 B87 B97 B107 B117 B127 B137 C147 C156 C165 C174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16" workbookViewId="0">
      <selection activeCell="E34" sqref="E34"/>
    </sheetView>
  </sheetViews>
  <sheetFormatPr defaultColWidth="9" defaultRowHeight="15"/>
  <cols>
    <col min="1" max="1" width="7.140625" style="62" customWidth="1"/>
    <col min="2" max="2" width="36" style="63" customWidth="1"/>
    <col min="3" max="3" width="5.42578125" style="63" customWidth="1"/>
    <col min="4" max="4" width="20.28515625" style="63" customWidth="1"/>
    <col min="5" max="5" width="19" style="63" customWidth="1"/>
    <col min="6" max="6" width="18.28515625" style="63" customWidth="1"/>
    <col min="7" max="7" width="18.85546875" style="63" customWidth="1"/>
    <col min="8" max="8" width="19.5703125" style="63" customWidth="1"/>
    <col min="9" max="9" width="19.42578125" style="63" customWidth="1"/>
    <col min="10" max="16384" width="9" style="63"/>
  </cols>
  <sheetData>
    <row r="1" spans="1:9" ht="15.75">
      <c r="A1" s="64"/>
      <c r="B1" s="65"/>
      <c r="C1" s="65"/>
      <c r="D1" s="65"/>
      <c r="E1" s="65"/>
      <c r="F1" s="65"/>
      <c r="G1" s="65"/>
      <c r="H1" s="65"/>
      <c r="I1" s="75"/>
    </row>
    <row r="2" spans="1:9" ht="15.75">
      <c r="A2" s="307" t="s">
        <v>0</v>
      </c>
      <c r="B2" s="308"/>
      <c r="C2" s="308"/>
      <c r="D2" s="308"/>
      <c r="E2" s="308"/>
      <c r="F2" s="308"/>
      <c r="G2" s="308"/>
      <c r="H2" s="308"/>
      <c r="I2" s="309"/>
    </row>
    <row r="3" spans="1:9" ht="15.75">
      <c r="A3" s="310" t="s">
        <v>209</v>
      </c>
      <c r="B3" s="311"/>
      <c r="C3" s="311"/>
      <c r="D3" s="311"/>
      <c r="E3" s="311"/>
      <c r="F3" s="311"/>
      <c r="G3" s="311"/>
      <c r="H3" s="311"/>
      <c r="I3" s="312"/>
    </row>
    <row r="4" spans="1:9" ht="15.75">
      <c r="A4" s="359" t="s">
        <v>132</v>
      </c>
      <c r="B4" s="360"/>
      <c r="C4" s="360"/>
      <c r="D4" s="360"/>
      <c r="E4" s="360"/>
      <c r="F4" s="360"/>
      <c r="G4" s="360"/>
      <c r="H4" s="360"/>
      <c r="I4" s="361"/>
    </row>
    <row r="5" spans="1:9">
      <c r="A5" s="66"/>
      <c r="B5" s="66"/>
      <c r="C5" s="66"/>
      <c r="D5" s="66"/>
      <c r="E5" s="66"/>
      <c r="F5" s="66"/>
      <c r="G5" s="66"/>
      <c r="H5" s="66"/>
      <c r="I5" s="66"/>
    </row>
    <row r="6" spans="1:9">
      <c r="A6" s="66"/>
      <c r="B6" s="66"/>
      <c r="C6" s="66"/>
      <c r="D6" s="66"/>
      <c r="E6" s="66"/>
      <c r="F6" s="66"/>
      <c r="G6" s="66"/>
      <c r="H6" s="66"/>
      <c r="I6" s="66"/>
    </row>
    <row r="8" spans="1:9" ht="15.75">
      <c r="A8" s="357" t="s">
        <v>210</v>
      </c>
      <c r="B8" s="358" t="s">
        <v>174</v>
      </c>
      <c r="C8" s="358" t="s">
        <v>175</v>
      </c>
      <c r="D8" s="354" t="s">
        <v>211</v>
      </c>
      <c r="E8" s="356"/>
      <c r="F8" s="354" t="s">
        <v>212</v>
      </c>
      <c r="G8" s="356"/>
      <c r="H8" s="354" t="s">
        <v>213</v>
      </c>
      <c r="I8" s="356"/>
    </row>
    <row r="9" spans="1:9" ht="15.75">
      <c r="A9" s="357"/>
      <c r="B9" s="358"/>
      <c r="C9" s="358"/>
      <c r="D9" s="67" t="s">
        <v>176</v>
      </c>
      <c r="E9" s="67" t="s">
        <v>177</v>
      </c>
      <c r="F9" s="67" t="s">
        <v>176</v>
      </c>
      <c r="G9" s="67" t="s">
        <v>177</v>
      </c>
      <c r="H9" s="67" t="s">
        <v>176</v>
      </c>
      <c r="I9" s="67" t="s">
        <v>177</v>
      </c>
    </row>
    <row r="10" spans="1:9">
      <c r="A10" s="68">
        <v>11101</v>
      </c>
      <c r="B10" s="10" t="str">
        <f>VLOOKUP(A10,'[2]MASTER DATA'!$A$6:$E$58,2,FALSE)</f>
        <v>Kas di tangan</v>
      </c>
      <c r="C10" s="10"/>
      <c r="D10" s="69">
        <f>VLOOKUP(A10,'MATER AKUN'!$A$7:$D$72,3,FALSE)</f>
        <v>2500000</v>
      </c>
      <c r="E10" s="69">
        <f>VLOOKUP(A10,'MATER AKUN'!$A$7:$D$71,4,FALSE)</f>
        <v>0</v>
      </c>
      <c r="F10" s="69">
        <f ca="1">SUMIF('JURNAL UMUM'!$A$9:$G$119,A10,'JURNAL UMUM'!$F$9:$G$120)</f>
        <v>62035750</v>
      </c>
      <c r="G10" s="69">
        <f ca="1">SUMIF('JURNAL UMUM'!$A$9:$G$120,A10,'JURNAL UMUM'!$G$9:$G$120)</f>
        <v>562500</v>
      </c>
      <c r="H10" s="69">
        <f ca="1">IF(D10+F10&gt;E10+G10,(D10+F10)-(E10+G10),0)</f>
        <v>63973250</v>
      </c>
      <c r="I10" s="69">
        <f t="shared" ref="I10:I16" ca="1" si="0">IF(E10+G10&gt;D10+F10,(E10+G10)-(D10+F10),0)</f>
        <v>0</v>
      </c>
    </row>
    <row r="11" spans="1:9">
      <c r="A11" s="68">
        <v>11102</v>
      </c>
      <c r="B11" s="10" t="str">
        <f>VLOOKUP(A11,'[2]MASTER DATA'!$A$6:$E$58,2,FALSE)</f>
        <v>Kas Kecil</v>
      </c>
      <c r="C11" s="10"/>
      <c r="D11" s="69">
        <f>VLOOKUP(A11,'MATER AKUN'!$A$7:$D$72,3,FALSE)</f>
        <v>750000</v>
      </c>
      <c r="E11" s="69">
        <f>VLOOKUP(A11,'MATER AKUN'!$A$7:$D$71,4,FALSE)</f>
        <v>0</v>
      </c>
      <c r="F11" s="69">
        <f ca="1">SUMIF('JURNAL UMUM'!$A$9:$G$119,A11,'JURNAL UMUM'!$F$9:$G$120)</f>
        <v>0</v>
      </c>
      <c r="G11" s="69">
        <f ca="1">SUMIF('JURNAL UMUM'!$A$9:$G$120,A11,'JURNAL UMUM'!$G$9:$G$120)</f>
        <v>0</v>
      </c>
      <c r="H11" s="69">
        <f t="shared" ref="H11:H18" ca="1" si="1">IF(D11+F11&gt;E11+G11,(D11+F11)-(E11+G11),0)</f>
        <v>750000</v>
      </c>
      <c r="I11" s="69">
        <f t="shared" ca="1" si="0"/>
        <v>0</v>
      </c>
    </row>
    <row r="12" spans="1:9">
      <c r="A12" s="68">
        <v>11200</v>
      </c>
      <c r="B12" s="10" t="str">
        <f>VLOOKUP(A12,'[2]MASTER DATA'!$A$6:$E$58,2,FALSE)</f>
        <v>Bank</v>
      </c>
      <c r="C12" s="10"/>
      <c r="D12" s="69">
        <f>VLOOKUP(A12,'MATER AKUN'!$A$7:$D$72,3,FALSE)</f>
        <v>0</v>
      </c>
      <c r="E12" s="69">
        <f>VLOOKUP(A12,'MATER AKUN'!$A$7:$D$71,4,FALSE)</f>
        <v>0</v>
      </c>
      <c r="F12" s="69">
        <f ca="1">SUMIF('JURNAL UMUM'!$A$9:$G$119,A12,'JURNAL UMUM'!$F$9:$G$120)</f>
        <v>0</v>
      </c>
      <c r="G12" s="69">
        <f ca="1">SUMIF('JURNAL UMUM'!$A$9:$G$120,A12,'JURNAL UMUM'!$G$9:$G$120)</f>
        <v>0</v>
      </c>
      <c r="H12" s="69">
        <f t="shared" ca="1" si="1"/>
        <v>0</v>
      </c>
      <c r="I12" s="69">
        <f t="shared" ca="1" si="0"/>
        <v>0</v>
      </c>
    </row>
    <row r="13" spans="1:9">
      <c r="A13" s="68">
        <v>11201</v>
      </c>
      <c r="B13" s="10" t="str">
        <f>VLOOKUP(A13,'[2]MASTER DATA'!$A$6:$E$58,2,FALSE)</f>
        <v>Bank BCA</v>
      </c>
      <c r="C13" s="10"/>
      <c r="D13" s="69">
        <f>VLOOKUP(A13,'MATER AKUN'!$A$7:$D$72,3,FALSE)</f>
        <v>45000000</v>
      </c>
      <c r="E13" s="69">
        <f>VLOOKUP(A13,'MATER AKUN'!$A$7:$D$71,4,FALSE)</f>
        <v>0</v>
      </c>
      <c r="F13" s="69">
        <f ca="1">SUMIF('JURNAL UMUM'!$A$9:$G$119,A13,'JURNAL UMUM'!$F$9:$G$120)</f>
        <v>44700000</v>
      </c>
      <c r="G13" s="69">
        <f ca="1">SUMIF('JURNAL UMUM'!$A$9:$G$120,A13,'JURNAL UMUM'!$G$9:$G$120)</f>
        <v>75025000</v>
      </c>
      <c r="H13" s="69">
        <f t="shared" ca="1" si="1"/>
        <v>14675000</v>
      </c>
      <c r="I13" s="69">
        <f t="shared" ca="1" si="0"/>
        <v>0</v>
      </c>
    </row>
    <row r="14" spans="1:9">
      <c r="A14" s="68">
        <v>11202</v>
      </c>
      <c r="B14" s="10" t="str">
        <f>VLOOKUP(A14,'[2]MASTER DATA'!$A$6:$E$58,2,FALSE)</f>
        <v>Bank Mandiri</v>
      </c>
      <c r="C14" s="10"/>
      <c r="D14" s="69">
        <f>VLOOKUP(A14,'MATER AKUN'!$A$7:$D$72,3,FALSE)</f>
        <v>25000000</v>
      </c>
      <c r="E14" s="69">
        <f>VLOOKUP(A14,'MATER AKUN'!$A$7:$D$71,4,FALSE)</f>
        <v>0</v>
      </c>
      <c r="F14" s="69">
        <f ca="1">SUMIF('JURNAL UMUM'!$A$9:$G$119,A14,'JURNAL UMUM'!$F$9:$G$120)</f>
        <v>71899000</v>
      </c>
      <c r="G14" s="69">
        <f ca="1">SUMIF('JURNAL UMUM'!$A$9:$G$120,A14,'JURNAL UMUM'!$G$9:$G$120)</f>
        <v>44887500</v>
      </c>
      <c r="H14" s="69">
        <f t="shared" ca="1" si="1"/>
        <v>52011500</v>
      </c>
      <c r="I14" s="69">
        <f t="shared" ca="1" si="0"/>
        <v>0</v>
      </c>
    </row>
    <row r="15" spans="1:9">
      <c r="A15" s="68">
        <v>11301</v>
      </c>
      <c r="B15" s="10" t="str">
        <f>VLOOKUP(A15,'[2]MASTER DATA'!$A$6:$E$58,2,FALSE)</f>
        <v>Piutang Usaha</v>
      </c>
      <c r="C15" s="10"/>
      <c r="D15" s="69">
        <f>VLOOKUP(A15,'MATER AKUN'!$A$7:$D$72,3,FALSE)</f>
        <v>47500000</v>
      </c>
      <c r="E15" s="69">
        <f>VLOOKUP(A15,'MATER AKUN'!$A$7:$D$71,4,FALSE)</f>
        <v>0</v>
      </c>
      <c r="F15" s="69">
        <f ca="1">SUMIF('JURNAL UMUM'!$A$9:$G$119,A15,'JURNAL UMUM'!$F$9:$G$120)</f>
        <v>59960000</v>
      </c>
      <c r="G15" s="69">
        <f ca="1">SUMIF('JURNAL UMUM'!$A$9:$G$120,A15,'JURNAL UMUM'!$G$9:$G$120)</f>
        <v>49425000</v>
      </c>
      <c r="H15" s="69">
        <f t="shared" ca="1" si="1"/>
        <v>58035000</v>
      </c>
      <c r="I15" s="69">
        <f t="shared" ca="1" si="0"/>
        <v>0</v>
      </c>
    </row>
    <row r="16" spans="1:9">
      <c r="A16" s="68">
        <v>11302</v>
      </c>
      <c r="B16" s="10" t="str">
        <f>VLOOKUP(A16,'[2]MASTER DATA'!$A$6:$E$58,2,FALSE)</f>
        <v>Cadangan Piutang Tak tertagih</v>
      </c>
      <c r="C16" s="10"/>
      <c r="D16" s="69">
        <f>VLOOKUP(A16,'MATER AKUN'!$A$7:$D$72,3,FALSE)</f>
        <v>0</v>
      </c>
      <c r="E16" s="69">
        <f>VLOOKUP(A16,'MATER AKUN'!$A$7:$D$71,4,FALSE)</f>
        <v>0</v>
      </c>
      <c r="F16" s="69">
        <f ca="1">SUMIF('JURNAL UMUM'!$A$9:$G$119,A16,'JURNAL UMUM'!$F$9:$G$120)</f>
        <v>0</v>
      </c>
      <c r="G16" s="69">
        <f ca="1">SUMIF('JURNAL UMUM'!$A$9:$G$120,A16,'JURNAL UMUM'!$G$9:$G$120)</f>
        <v>2901750</v>
      </c>
      <c r="H16" s="69">
        <f t="shared" ca="1" si="1"/>
        <v>0</v>
      </c>
      <c r="I16" s="69">
        <f t="shared" ca="1" si="0"/>
        <v>2901750</v>
      </c>
    </row>
    <row r="17" spans="1:9">
      <c r="A17" s="68">
        <v>11401</v>
      </c>
      <c r="B17" s="10" t="str">
        <f>VLOOKUP(A17,'[2]MASTER DATA'!$A$6:$E$58,2,FALSE)</f>
        <v>Piutang Karyawan</v>
      </c>
      <c r="C17" s="10"/>
      <c r="D17" s="69">
        <f>VLOOKUP(A17,'MATER AKUN'!$A$7:$D$72,3,FALSE)</f>
        <v>0</v>
      </c>
      <c r="E17" s="69">
        <f>VLOOKUP(A17,'MATER AKUN'!$A$7:$D$71,4,FALSE)</f>
        <v>0</v>
      </c>
      <c r="F17" s="69">
        <f ca="1">SUMIF('JURNAL UMUM'!$A$9:$G$119,A17,'JURNAL UMUM'!$F$9:$G$120)</f>
        <v>2500000</v>
      </c>
      <c r="G17" s="69">
        <f ca="1">SUMIF('JURNAL UMUM'!$A$9:$G$120,A17,'JURNAL UMUM'!$G$9:$G$120)</f>
        <v>500000</v>
      </c>
      <c r="H17" s="69">
        <f t="shared" ca="1" si="1"/>
        <v>2000000</v>
      </c>
      <c r="I17" s="69">
        <f t="shared" ref="I17:I56" ca="1" si="2">IF(E17+G17&gt;D17+F17,(E17+G17)-(D17+F17),0)</f>
        <v>0</v>
      </c>
    </row>
    <row r="18" spans="1:9">
      <c r="A18" s="68">
        <v>11500</v>
      </c>
      <c r="B18" s="10" t="str">
        <f>VLOOKUP(A18,'[2]MASTER DATA'!$A$6:$E$58,2,FALSE)</f>
        <v>Persediaan Barang Dagangan</v>
      </c>
      <c r="C18" s="10"/>
      <c r="D18" s="69">
        <f>VLOOKUP(A18,'MATER AKUN'!$A$7:$D$72,3,FALSE)</f>
        <v>166380000</v>
      </c>
      <c r="E18" s="69">
        <f>VLOOKUP(A18,'MATER AKUN'!$A$7:$D$71,4,FALSE)</f>
        <v>0</v>
      </c>
      <c r="F18" s="69">
        <f ca="1">SUMIF('JURNAL UMUM'!$A$9:$G$119,A18,'JURNAL UMUM'!$F$9:$G$120)</f>
        <v>23475000</v>
      </c>
      <c r="G18" s="69">
        <f ca="1">SUMIF('JURNAL UMUM'!$A$9:$G$120,A18,'JURNAL UMUM'!$G$9:$G$120)</f>
        <v>118390000</v>
      </c>
      <c r="H18" s="69">
        <f t="shared" ca="1" si="1"/>
        <v>71465000</v>
      </c>
      <c r="I18" s="69">
        <f t="shared" ca="1" si="2"/>
        <v>0</v>
      </c>
    </row>
    <row r="19" spans="1:9">
      <c r="A19" s="68">
        <v>11601</v>
      </c>
      <c r="B19" s="10" t="str">
        <f>VLOOKUP(A19,'[2]MASTER DATA'!$A$6:$E$58,2,FALSE)</f>
        <v>PPN Masukan</v>
      </c>
      <c r="C19" s="10"/>
      <c r="D19" s="69">
        <f>VLOOKUP(A19,'MATER AKUN'!$A$7:$D$72,3,FALSE)</f>
        <v>0</v>
      </c>
      <c r="E19" s="69">
        <f>VLOOKUP(A19,'MATER AKUN'!$A$7:$D$71,4,FALSE)</f>
        <v>0</v>
      </c>
      <c r="F19" s="69">
        <f ca="1">SUMIF('JURNAL UMUM'!$A$9:$G$119,A19,'JURNAL UMUM'!$F$9:$G$120)</f>
        <v>2425000</v>
      </c>
      <c r="G19" s="69">
        <f ca="1">SUMIF('JURNAL UMUM'!$A$9:$G$120,A19,'JURNAL UMUM'!$G$9:$G$120)</f>
        <v>32500</v>
      </c>
      <c r="H19" s="69">
        <f t="shared" ref="H19:H25" ca="1" si="3">IF(D19+F19&gt;E19+G19,(D19+F19)-(E19+G19),0)</f>
        <v>2392500</v>
      </c>
      <c r="I19" s="69">
        <f t="shared" ca="1" si="2"/>
        <v>0</v>
      </c>
    </row>
    <row r="20" spans="1:9">
      <c r="A20" s="68">
        <v>11602</v>
      </c>
      <c r="B20" s="10" t="str">
        <f>VLOOKUP(A20,'[2]MASTER DATA'!$A$6:$E$58,2,FALSE)</f>
        <v>Uang Muka Pembelian</v>
      </c>
      <c r="C20" s="10"/>
      <c r="D20" s="69">
        <f>VLOOKUP(A20,'MATER AKUN'!$A$7:$D$72,3,FALSE)</f>
        <v>0</v>
      </c>
      <c r="E20" s="69">
        <f>VLOOKUP(A20,'MATER AKUN'!$A$7:$D$71,4,FALSE)</f>
        <v>0</v>
      </c>
      <c r="F20" s="69">
        <f ca="1">SUMIF('JURNAL UMUM'!$A$9:$G$119,A20,'JURNAL UMUM'!$F$9:$G$120)</f>
        <v>6000000</v>
      </c>
      <c r="G20" s="69">
        <f ca="1">SUMIF('JURNAL UMUM'!$A$9:$G$120,A20,'JURNAL UMUM'!$G$9:$G$120)</f>
        <v>0</v>
      </c>
      <c r="H20" s="69">
        <f t="shared" ca="1" si="3"/>
        <v>6000000</v>
      </c>
      <c r="I20" s="69">
        <f t="shared" ca="1" si="2"/>
        <v>0</v>
      </c>
    </row>
    <row r="21" spans="1:9">
      <c r="A21" s="68">
        <v>12101</v>
      </c>
      <c r="B21" s="10" t="str">
        <f>VLOOKUP(A21,'[2]MASTER DATA'!$A$6:$E$58,2,FALSE)</f>
        <v>Peralatan Kantor</v>
      </c>
      <c r="C21" s="10"/>
      <c r="D21" s="69">
        <f>VLOOKUP(A21,'MATER AKUN'!$A$7:$D$72,3,FALSE)</f>
        <v>25000000</v>
      </c>
      <c r="E21" s="69">
        <f>VLOOKUP(A21,'MATER AKUN'!$A$7:$D$71,4,FALSE)</f>
        <v>0</v>
      </c>
      <c r="F21" s="69">
        <f ca="1">SUMIF('JURNAL UMUM'!$A$9:$G$119,A21,'JURNAL UMUM'!$F$9:$G$120)</f>
        <v>0</v>
      </c>
      <c r="G21" s="69">
        <f ca="1">SUMIF('JURNAL UMUM'!$A$9:$G$120,A21,'JURNAL UMUM'!$G$9:$G$120)</f>
        <v>0</v>
      </c>
      <c r="H21" s="69">
        <f t="shared" ca="1" si="3"/>
        <v>25000000</v>
      </c>
      <c r="I21" s="69">
        <f t="shared" ca="1" si="2"/>
        <v>0</v>
      </c>
    </row>
    <row r="22" spans="1:9">
      <c r="A22" s="68">
        <v>12102</v>
      </c>
      <c r="B22" s="10" t="str">
        <f>VLOOKUP(A22,'[2]MASTER DATA'!$A$6:$E$58,2,FALSE)</f>
        <v>Akumulasi penyusutan peralatan kantor</v>
      </c>
      <c r="C22" s="10"/>
      <c r="D22" s="69">
        <f>VLOOKUP(A22,'MATER AKUN'!$A$7:$D$72,3,FALSE)</f>
        <v>0</v>
      </c>
      <c r="E22" s="69">
        <f>VLOOKUP(A22,'MATER AKUN'!$A$7:$D$71,4,FALSE)</f>
        <v>7500000</v>
      </c>
      <c r="F22" s="69">
        <f ca="1">SUMIF('JURNAL UMUM'!$A$9:$G$119,A22,'JURNAL UMUM'!$F$9:$G$120)</f>
        <v>0</v>
      </c>
      <c r="G22" s="69">
        <f ca="1">SUMIF('JURNAL UMUM'!$A$9:$G$120,A22,'JURNAL UMUM'!$G$9:$G$120)</f>
        <v>400000</v>
      </c>
      <c r="H22" s="69">
        <f t="shared" ca="1" si="3"/>
        <v>0</v>
      </c>
      <c r="I22" s="69">
        <f t="shared" ca="1" si="2"/>
        <v>7900000</v>
      </c>
    </row>
    <row r="23" spans="1:9">
      <c r="A23" s="68">
        <v>12201</v>
      </c>
      <c r="B23" s="10" t="str">
        <f>VLOOKUP(A23,'[2]MASTER DATA'!$A$6:$E$58,2,FALSE)</f>
        <v>Kendaraan</v>
      </c>
      <c r="C23" s="10"/>
      <c r="D23" s="69">
        <f>VLOOKUP(A23,'MATER AKUN'!$A$7:$D$72,3,FALSE)</f>
        <v>45000000</v>
      </c>
      <c r="E23" s="69">
        <f>VLOOKUP(A23,'MATER AKUN'!$A$7:$D$71,4,FALSE)</f>
        <v>0</v>
      </c>
      <c r="F23" s="69">
        <f ca="1">SUMIF('JURNAL UMUM'!$A$9:$G$119,A23,'JURNAL UMUM'!$F$9:$G$120)</f>
        <v>11500000</v>
      </c>
      <c r="G23" s="69">
        <f ca="1">SUMIF('JURNAL UMUM'!$A$9:$G$120,A23,'JURNAL UMUM'!$G$9:$G$120)</f>
        <v>6000000</v>
      </c>
      <c r="H23" s="69">
        <f t="shared" ca="1" si="3"/>
        <v>50500000</v>
      </c>
      <c r="I23" s="69">
        <f t="shared" ca="1" si="2"/>
        <v>0</v>
      </c>
    </row>
    <row r="24" spans="1:9">
      <c r="A24" s="68">
        <v>12202</v>
      </c>
      <c r="B24" s="10" t="str">
        <f>VLOOKUP(A24,'[2]MASTER DATA'!$A$6:$E$58,2,FALSE)</f>
        <v>Akumulasi penyusutan Kendaraan</v>
      </c>
      <c r="C24" s="10"/>
      <c r="D24" s="69">
        <f>VLOOKUP(A24,'MATER AKUN'!$A$7:$D$72,3,FALSE)</f>
        <v>0</v>
      </c>
      <c r="E24" s="69">
        <f>VLOOKUP(A24,'MATER AKUN'!$A$7:$D$71,4,FALSE)</f>
        <v>25000000</v>
      </c>
      <c r="F24" s="69">
        <f ca="1">SUMIF('JURNAL UMUM'!$A$9:$G$119,A24,'JURNAL UMUM'!$F$9:$G$120)</f>
        <v>1500000</v>
      </c>
      <c r="G24" s="69">
        <f ca="1">SUMIF('JURNAL UMUM'!$A$9:$G$120,A24,'JURNAL UMUM'!$G$9:$G$120)</f>
        <v>500000</v>
      </c>
      <c r="H24" s="69">
        <f t="shared" ca="1" si="3"/>
        <v>0</v>
      </c>
      <c r="I24" s="69">
        <f t="shared" ca="1" si="2"/>
        <v>24000000</v>
      </c>
    </row>
    <row r="25" spans="1:9">
      <c r="A25" s="68">
        <v>21100</v>
      </c>
      <c r="B25" s="10" t="str">
        <f>VLOOKUP(A25,'[2]MASTER DATA'!$A$6:$E$58,2,FALSE)</f>
        <v>Hutang Usaha</v>
      </c>
      <c r="C25" s="10"/>
      <c r="D25" s="69">
        <f>VLOOKUP(A25,'MATER AKUN'!$A$7:$D$72,3,FALSE)</f>
        <v>0</v>
      </c>
      <c r="E25" s="69">
        <f>VLOOKUP(A25,'MATER AKUN'!$A$7:$D$71,4,FALSE)</f>
        <v>75000000</v>
      </c>
      <c r="F25" s="69">
        <f ca="1">SUMIF('JURNAL UMUM'!$A$9:$G$119,A25,'JURNAL UMUM'!$F$9:$G$120)</f>
        <v>46357500</v>
      </c>
      <c r="G25" s="69">
        <f ca="1">SUMIF('JURNAL UMUM'!$A$9:$G$120,A25,'JURNAL UMUM'!$G$9:$G$120)</f>
        <v>17925000</v>
      </c>
      <c r="H25" s="69">
        <f t="shared" ca="1" si="3"/>
        <v>0</v>
      </c>
      <c r="I25" s="69">
        <f t="shared" ca="1" si="2"/>
        <v>46567500</v>
      </c>
    </row>
    <row r="26" spans="1:9">
      <c r="A26" s="68">
        <v>21200</v>
      </c>
      <c r="B26" s="10" t="str">
        <f>VLOOKUP(A26,'[2]MASTER DATA'!$A$6:$E$58,2,FALSE)</f>
        <v>Pendapatan diterima dimuka-Jasa Kirim</v>
      </c>
      <c r="C26" s="10"/>
      <c r="D26" s="69">
        <f>VLOOKUP(A26,'MATER AKUN'!$A$7:$D$72,3,FALSE)</f>
        <v>0</v>
      </c>
      <c r="E26" s="69">
        <f>VLOOKUP(A26,'MATER AKUN'!$A$7:$D$71,4,FALSE)</f>
        <v>0</v>
      </c>
      <c r="F26" s="69">
        <f ca="1">SUMIF('JURNAL UMUM'!$A$9:$G$119,A26,'JURNAL UMUM'!$F$9:$G$120)</f>
        <v>0</v>
      </c>
      <c r="G26" s="69">
        <f ca="1">SUMIF('JURNAL UMUM'!$A$9:$G$120,A26,'JURNAL UMUM'!$G$9:$G$120)</f>
        <v>200000</v>
      </c>
      <c r="H26" s="69">
        <f t="shared" ref="H26:H56" ca="1" si="4">IF(D26+F26&gt;E26+G26,(D26+F26)-(E26+G26),0)</f>
        <v>0</v>
      </c>
      <c r="I26" s="69">
        <f t="shared" ca="1" si="2"/>
        <v>200000</v>
      </c>
    </row>
    <row r="27" spans="1:9">
      <c r="A27" s="68">
        <v>21300</v>
      </c>
      <c r="B27" s="10" t="str">
        <f>VLOOKUP(A27,'[2]MASTER DATA'!$A$6:$E$58,2,FALSE)</f>
        <v>Hutang Bunga</v>
      </c>
      <c r="C27" s="10"/>
      <c r="D27" s="69">
        <f>VLOOKUP(A27,'MATER AKUN'!$A$7:$D$72,3,FALSE)</f>
        <v>0</v>
      </c>
      <c r="E27" s="69">
        <f>VLOOKUP(A27,'MATER AKUN'!$A$7:$D$71,4,FALSE)</f>
        <v>0</v>
      </c>
      <c r="F27" s="69">
        <f ca="1">SUMIF('JURNAL UMUM'!$A$9:$G$119,A27,'JURNAL UMUM'!$F$9:$G$120)</f>
        <v>0</v>
      </c>
      <c r="G27" s="69">
        <f ca="1">SUMIF('JURNAL UMUM'!$A$9:$G$120,A27,'JURNAL UMUM'!$G$9:$G$120)</f>
        <v>1500000</v>
      </c>
      <c r="H27" s="69">
        <f t="shared" ca="1" si="4"/>
        <v>0</v>
      </c>
      <c r="I27" s="69">
        <f t="shared" ca="1" si="2"/>
        <v>1500000</v>
      </c>
    </row>
    <row r="28" spans="1:9">
      <c r="A28" s="68">
        <v>21400</v>
      </c>
      <c r="B28" s="10" t="str">
        <f>VLOOKUP(A28,'[2]MASTER DATA'!$A$6:$E$58,2,FALSE)</f>
        <v>Hutang Pajak</v>
      </c>
      <c r="C28" s="10"/>
      <c r="D28" s="69">
        <f>VLOOKUP(A28,'MATER AKUN'!$A$7:$D$72,3,FALSE)</f>
        <v>0</v>
      </c>
      <c r="E28" s="69">
        <f>VLOOKUP(A28,'MATER AKUN'!$A$7:$D$71,4,FALSE)</f>
        <v>0</v>
      </c>
      <c r="F28" s="69">
        <f ca="1">SUMIF('JURNAL UMUM'!$A$9:$G$119,A28,'JURNAL UMUM'!$F$9:$G$120)</f>
        <v>0</v>
      </c>
      <c r="G28" s="69">
        <f ca="1">SUMIF('JURNAL UMUM'!$A$9:$G$120,A28,'JURNAL UMUM'!$G$9:$G$120)</f>
        <v>0</v>
      </c>
      <c r="H28" s="69">
        <f t="shared" ca="1" si="4"/>
        <v>0</v>
      </c>
      <c r="I28" s="69">
        <f t="shared" ca="1" si="2"/>
        <v>0</v>
      </c>
    </row>
    <row r="29" spans="1:9">
      <c r="A29" s="68">
        <v>21401</v>
      </c>
      <c r="B29" s="10" t="str">
        <f>VLOOKUP(A29,'[2]MASTER DATA'!$A$6:$E$58,2,FALSE)</f>
        <v>Utang PPh pasal 21</v>
      </c>
      <c r="C29" s="10"/>
      <c r="D29" s="69">
        <f>VLOOKUP(A29,'MATER AKUN'!$A$7:$D$72,3,FALSE)</f>
        <v>0</v>
      </c>
      <c r="E29" s="69">
        <f>VLOOKUP(A29,'MATER AKUN'!$A$7:$D$71,4,FALSE)</f>
        <v>0</v>
      </c>
      <c r="F29" s="69">
        <f ca="1">SUMIF('JURNAL UMUM'!$A$9:$G$119,A29,'JURNAL UMUM'!$F$9:$G$120)</f>
        <v>0</v>
      </c>
      <c r="G29" s="69">
        <f ca="1">SUMIF('JURNAL UMUM'!$A$9:$G$120,A29,'JURNAL UMUM'!$G$9:$G$120)</f>
        <v>725000</v>
      </c>
      <c r="H29" s="69">
        <f t="shared" ca="1" si="4"/>
        <v>0</v>
      </c>
      <c r="I29" s="69">
        <f t="shared" ca="1" si="2"/>
        <v>725000</v>
      </c>
    </row>
    <row r="30" spans="1:9">
      <c r="A30" s="68">
        <v>21402</v>
      </c>
      <c r="B30" s="10" t="str">
        <f>VLOOKUP(A30,'[2]MASTER DATA'!$A$6:$E$58,2,FALSE)</f>
        <v>Utang PPh pasal 4</v>
      </c>
      <c r="C30" s="10"/>
      <c r="D30" s="69">
        <f>VLOOKUP(A30,'MATER AKUN'!$A$7:$D$72,3,FALSE)</f>
        <v>0</v>
      </c>
      <c r="E30" s="69">
        <f>VLOOKUP(A30,'MATER AKUN'!$A$7:$D$71,4,FALSE)</f>
        <v>0</v>
      </c>
      <c r="F30" s="69">
        <f ca="1">SUMIF('JURNAL UMUM'!$A$9:$G$119,A30,'JURNAL UMUM'!$F$9:$G$120)</f>
        <v>0</v>
      </c>
      <c r="G30" s="69">
        <f ca="1">SUMIF('JURNAL UMUM'!$A$9:$G$120,A30,'JURNAL UMUM'!$G$9:$G$120)</f>
        <v>250000</v>
      </c>
      <c r="H30" s="69">
        <f t="shared" ca="1" si="4"/>
        <v>0</v>
      </c>
      <c r="I30" s="69">
        <f t="shared" ca="1" si="2"/>
        <v>250000</v>
      </c>
    </row>
    <row r="31" spans="1:9">
      <c r="A31" s="68">
        <v>21403</v>
      </c>
      <c r="B31" s="10" t="str">
        <f>VLOOKUP(A31,'[2]MASTER DATA'!$A$6:$E$58,2,FALSE)</f>
        <v>PPN Keluaran</v>
      </c>
      <c r="C31" s="10"/>
      <c r="D31" s="69">
        <f>VLOOKUP(A31,'MATER AKUN'!$A$7:$D$72,3,FALSE)</f>
        <v>0</v>
      </c>
      <c r="E31" s="69">
        <f>VLOOKUP(A31,'MATER AKUN'!$A$7:$D$71,4,FALSE)</f>
        <v>0</v>
      </c>
      <c r="F31" s="69">
        <f ca="1">SUMIF('JURNAL UMUM'!$A$9:$G$119,A31,'JURNAL UMUM'!$F$9:$G$120)</f>
        <v>212500</v>
      </c>
      <c r="G31" s="69">
        <f ca="1">SUMIF('JURNAL UMUM'!$A$9:$G$120,A31,'JURNAL UMUM'!$G$9:$G$120)</f>
        <v>14182250</v>
      </c>
      <c r="H31" s="69">
        <f t="shared" ca="1" si="4"/>
        <v>0</v>
      </c>
      <c r="I31" s="69">
        <f t="shared" ca="1" si="2"/>
        <v>13969750</v>
      </c>
    </row>
    <row r="32" spans="1:9">
      <c r="A32" s="68">
        <v>22001</v>
      </c>
      <c r="B32" s="10" t="str">
        <f>VLOOKUP(A32,'[2]MASTER DATA'!$A$6:$E$58,2,FALSE)</f>
        <v>Hutang Bank Mandiri</v>
      </c>
      <c r="C32" s="10"/>
      <c r="D32" s="69">
        <f>VLOOKUP(A32,'MATER AKUN'!$A$7:$D$72,3,FALSE)</f>
        <v>0</v>
      </c>
      <c r="E32" s="69">
        <f>VLOOKUP(A32,'MATER AKUN'!$A$7:$D$71,4,FALSE)</f>
        <v>75000000</v>
      </c>
      <c r="F32" s="69">
        <f ca="1">SUMIF('JURNAL UMUM'!$A$9:$G$119,A32,'JURNAL UMUM'!$F$9:$G$120)</f>
        <v>0</v>
      </c>
      <c r="G32" s="69">
        <f ca="1">SUMIF('JURNAL UMUM'!$A$9:$G$120,A32,'JURNAL UMUM'!$G$9:$G$120)</f>
        <v>0</v>
      </c>
      <c r="H32" s="69">
        <f t="shared" ca="1" si="4"/>
        <v>0</v>
      </c>
      <c r="I32" s="69">
        <f t="shared" ca="1" si="2"/>
        <v>75000000</v>
      </c>
    </row>
    <row r="33" spans="1:9">
      <c r="A33" s="68">
        <v>31000</v>
      </c>
      <c r="B33" s="10" t="str">
        <f>VLOOKUP(A33,'[2]MASTER DATA'!$A$6:$E$58,2,FALSE)</f>
        <v>Modal Saham</v>
      </c>
      <c r="C33" s="10"/>
      <c r="D33" s="69">
        <f>VLOOKUP(A33,'MATER AKUN'!$A$7:$D$72,3,FALSE)</f>
        <v>0</v>
      </c>
      <c r="E33" s="69">
        <f>VLOOKUP(A33,'MATER AKUN'!$A$7:$D$71,4,FALSE)</f>
        <v>150000000</v>
      </c>
      <c r="F33" s="69">
        <f ca="1">SUMIF('JURNAL UMUM'!$A$9:$G$119,A33,'JURNAL UMUM'!$F$9:$G$120)</f>
        <v>0</v>
      </c>
      <c r="G33" s="69">
        <f ca="1">SUMIF('JURNAL UMUM'!$A$9:$G$120,A33,'JURNAL UMUM'!$G$9:$G$120)</f>
        <v>0</v>
      </c>
      <c r="H33" s="69">
        <f t="shared" ca="1" si="4"/>
        <v>0</v>
      </c>
      <c r="I33" s="69">
        <f t="shared" ca="1" si="2"/>
        <v>150000000</v>
      </c>
    </row>
    <row r="34" spans="1:9">
      <c r="A34" s="68">
        <v>32000</v>
      </c>
      <c r="B34" s="10" t="str">
        <f>VLOOKUP(A34,'[2]MASTER DATA'!$A$6:$E$58,2,FALSE)</f>
        <v>Laba Ditahan Periode Lalu</v>
      </c>
      <c r="C34" s="10"/>
      <c r="D34" s="69">
        <f>VLOOKUP(A34,'MATER AKUN'!$A$7:$D$72,3,FALSE)</f>
        <v>0</v>
      </c>
      <c r="E34" s="69">
        <f>VLOOKUP(A34,'MATER AKUN'!$A$7:$D$71,4,FALSE)</f>
        <v>24630000</v>
      </c>
      <c r="F34" s="69">
        <f ca="1">SUMIF('JURNAL UMUM'!$A$9:$G$119,A34,'JURNAL UMUM'!$F$9:$G$120)</f>
        <v>0</v>
      </c>
      <c r="G34" s="69">
        <f ca="1">SUMIF('JURNAL UMUM'!$A$9:$G$120,A34,'JURNAL UMUM'!$G$9:$G$120)</f>
        <v>0</v>
      </c>
      <c r="H34" s="69">
        <f t="shared" ca="1" si="4"/>
        <v>0</v>
      </c>
      <c r="I34" s="69">
        <f t="shared" ca="1" si="2"/>
        <v>24630000</v>
      </c>
    </row>
    <row r="35" spans="1:9">
      <c r="A35" s="68">
        <v>33000</v>
      </c>
      <c r="B35" s="10" t="str">
        <f>VLOOKUP(A35,'[2]MASTER DATA'!$A$6:$E$58,2,FALSE)</f>
        <v>Laba Ditahan Periode Berjalan</v>
      </c>
      <c r="C35" s="10"/>
      <c r="D35" s="69">
        <f>VLOOKUP(A35,'MATER AKUN'!$A$7:$D$72,3,FALSE)</f>
        <v>0</v>
      </c>
      <c r="E35" s="69">
        <f>VLOOKUP(A35,'MATER AKUN'!$A$7:$D$71,4,FALSE)</f>
        <v>0</v>
      </c>
      <c r="F35" s="69">
        <f ca="1">SUMIF('JURNAL UMUM'!$A$9:$G$119,A35,'JURNAL UMUM'!$F$9:$G$120)</f>
        <v>0</v>
      </c>
      <c r="G35" s="69">
        <f ca="1">SUMIF('JURNAL UMUM'!$A$9:$G$120,A35,'JURNAL UMUM'!$G$9:$G$120)</f>
        <v>0</v>
      </c>
      <c r="H35" s="69">
        <f t="shared" ca="1" si="4"/>
        <v>0</v>
      </c>
      <c r="I35" s="69">
        <f t="shared" ca="1" si="2"/>
        <v>0</v>
      </c>
    </row>
    <row r="36" spans="1:9">
      <c r="A36" s="68">
        <v>39999</v>
      </c>
      <c r="B36" s="10" t="str">
        <f>VLOOKUP(A36,'[2]MASTER DATA'!$A$6:$E$58,2,FALSE)</f>
        <v>Perkiraan Penyeimbang</v>
      </c>
      <c r="C36" s="10"/>
      <c r="D36" s="69">
        <f>VLOOKUP(A36,'MATER AKUN'!$A$7:$D$72,3,FALSE)</f>
        <v>0</v>
      </c>
      <c r="E36" s="69">
        <f>VLOOKUP(A36,'MATER AKUN'!$A$7:$D$71,4,FALSE)</f>
        <v>0</v>
      </c>
      <c r="F36" s="69">
        <f ca="1">SUMIF('JURNAL UMUM'!$A$9:$G$119,A36,'JURNAL UMUM'!$F$9:$G$120)</f>
        <v>0</v>
      </c>
      <c r="G36" s="69">
        <f ca="1">SUMIF('JURNAL UMUM'!$A$9:$G$120,A36,'JURNAL UMUM'!$G$9:$G$120)</f>
        <v>0</v>
      </c>
      <c r="H36" s="69">
        <f t="shared" ca="1" si="4"/>
        <v>0</v>
      </c>
      <c r="I36" s="69">
        <f t="shared" ca="1" si="2"/>
        <v>0</v>
      </c>
    </row>
    <row r="37" spans="1:9">
      <c r="A37" s="68">
        <v>41000</v>
      </c>
      <c r="B37" s="10" t="str">
        <f>VLOOKUP(A37,'[2]MASTER DATA'!$A$6:$E$58,2,FALSE)</f>
        <v>Penjualan</v>
      </c>
      <c r="C37" s="10"/>
      <c r="D37" s="69">
        <f>VLOOKUP(A37,'MATER AKUN'!$A$7:$D$72,3,FALSE)</f>
        <v>0</v>
      </c>
      <c r="E37" s="69">
        <f>VLOOKUP(A37,'MATER AKUN'!$A$7:$D$71,4,FALSE)</f>
        <v>0</v>
      </c>
      <c r="F37" s="69">
        <f ca="1">SUMIF('JURNAL UMUM'!$A$9:$G$119,A37,'JURNAL UMUM'!$F$9:$G$120)</f>
        <v>0</v>
      </c>
      <c r="G37" s="69">
        <f ca="1">SUMIF('JURNAL UMUM'!$A$9:$G$120,A37,'JURNAL UMUM'!$G$9:$G$120)</f>
        <v>142385000</v>
      </c>
      <c r="H37" s="69">
        <f t="shared" ca="1" si="4"/>
        <v>0</v>
      </c>
      <c r="I37" s="69">
        <f t="shared" ca="1" si="2"/>
        <v>142385000</v>
      </c>
    </row>
    <row r="38" spans="1:9">
      <c r="A38" s="68">
        <v>42000</v>
      </c>
      <c r="B38" s="10" t="str">
        <f>VLOOKUP(A38,'[2]MASTER DATA'!$A$6:$E$58,2,FALSE)</f>
        <v>Retur Penjualan</v>
      </c>
      <c r="C38" s="10"/>
      <c r="D38" s="69">
        <f>VLOOKUP(A38,'MATER AKUN'!$A$7:$D$72,3,FALSE)</f>
        <v>0</v>
      </c>
      <c r="E38" s="69">
        <f>VLOOKUP(A38,'MATER AKUN'!$A$7:$D$71,4,FALSE)</f>
        <v>0</v>
      </c>
      <c r="F38" s="69">
        <f ca="1">SUMIF('JURNAL UMUM'!$A$9:$G$119,A38,'JURNAL UMUM'!$F$9:$G$120)</f>
        <v>2125000</v>
      </c>
      <c r="G38" s="69">
        <f ca="1">SUMIF('JURNAL UMUM'!$A$9:$G$120,A38,'JURNAL UMUM'!$G$9:$G$120)</f>
        <v>0</v>
      </c>
      <c r="H38" s="69">
        <f t="shared" ca="1" si="4"/>
        <v>2125000</v>
      </c>
      <c r="I38" s="69">
        <f t="shared" ca="1" si="2"/>
        <v>0</v>
      </c>
    </row>
    <row r="39" spans="1:9">
      <c r="A39" s="68">
        <v>43000</v>
      </c>
      <c r="B39" s="10" t="str">
        <f>VLOOKUP(A39,'[2]MASTER DATA'!$A$6:$E$58,2,FALSE)</f>
        <v>Potongan Penjualan</v>
      </c>
      <c r="C39" s="10"/>
      <c r="D39" s="69">
        <f>VLOOKUP(A39,'MATER AKUN'!$A$7:$D$72,3,FALSE)</f>
        <v>0</v>
      </c>
      <c r="E39" s="69">
        <f>VLOOKUP(A39,'MATER AKUN'!$A$7:$D$71,4,FALSE)</f>
        <v>0</v>
      </c>
      <c r="F39" s="69">
        <f ca="1">SUMIF('JURNAL UMUM'!$A$9:$G$119,A39,'JURNAL UMUM'!$F$9:$G$120)</f>
        <v>3022500</v>
      </c>
      <c r="G39" s="69">
        <f ca="1">SUMIF('JURNAL UMUM'!$A$9:$G$120,A39,'JURNAL UMUM'!$G$9:$G$120)</f>
        <v>0</v>
      </c>
      <c r="H39" s="69">
        <f t="shared" ca="1" si="4"/>
        <v>3022500</v>
      </c>
      <c r="I39" s="69">
        <f t="shared" ca="1" si="2"/>
        <v>0</v>
      </c>
    </row>
    <row r="40" spans="1:9">
      <c r="A40" s="68">
        <v>51000</v>
      </c>
      <c r="B40" s="10" t="str">
        <f>VLOOKUP(A40,'[2]MASTER DATA'!$A$6:$E$58,2,FALSE)</f>
        <v>Harga Pokok Penjualan</v>
      </c>
      <c r="C40" s="10"/>
      <c r="D40" s="69">
        <f>VLOOKUP(A40,'MATER AKUN'!$A$7:$D$72,3,FALSE)</f>
        <v>0</v>
      </c>
      <c r="E40" s="69">
        <f>VLOOKUP(A40,'MATER AKUN'!$A$7:$D$71,4,FALSE)</f>
        <v>0</v>
      </c>
      <c r="F40" s="69">
        <f ca="1">SUMIF('JURNAL UMUM'!$A$9:$G$119,A40,'JURNAL UMUM'!$F$9:$G$120)</f>
        <v>118065000</v>
      </c>
      <c r="G40" s="69">
        <f ca="1">SUMIF('JURNAL UMUM'!$A$9:$G$120,A40,'JURNAL UMUM'!$G$9:$G$120)</f>
        <v>1725000</v>
      </c>
      <c r="H40" s="69">
        <f t="shared" ca="1" si="4"/>
        <v>116340000</v>
      </c>
      <c r="I40" s="69">
        <f t="shared" ca="1" si="2"/>
        <v>0</v>
      </c>
    </row>
    <row r="41" spans="1:9">
      <c r="A41" s="68">
        <v>61001</v>
      </c>
      <c r="B41" s="10" t="str">
        <f>VLOOKUP(A41,'[2]MASTER DATA'!$A$6:$E$58,2,FALSE)</f>
        <v>Beban Gaji Karyawan</v>
      </c>
      <c r="C41" s="10"/>
      <c r="D41" s="69">
        <f>VLOOKUP(A41,'MATER AKUN'!$A$7:$D$72,3,FALSE)</f>
        <v>0</v>
      </c>
      <c r="E41" s="69">
        <f>VLOOKUP(A41,'MATER AKUN'!$A$7:$D$71,4,FALSE)</f>
        <v>0</v>
      </c>
      <c r="F41" s="69">
        <f ca="1">SUMIF('JURNAL UMUM'!$A$9:$G$119,A41,'JURNAL UMUM'!$F$9:$G$120)</f>
        <v>14500000</v>
      </c>
      <c r="G41" s="69">
        <f ca="1">SUMIF('JURNAL UMUM'!$A$9:$G$120,A41,'JURNAL UMUM'!$G$9:$G$120)</f>
        <v>0</v>
      </c>
      <c r="H41" s="69">
        <f t="shared" ca="1" si="4"/>
        <v>14500000</v>
      </c>
      <c r="I41" s="69">
        <f t="shared" ca="1" si="2"/>
        <v>0</v>
      </c>
    </row>
    <row r="42" spans="1:9">
      <c r="A42" s="68">
        <v>61002</v>
      </c>
      <c r="B42" s="10" t="str">
        <f>VLOOKUP(A42,'[2]MASTER DATA'!$A$6:$E$58,2,FALSE)</f>
        <v>Beban Sewa</v>
      </c>
      <c r="C42" s="10"/>
      <c r="D42" s="69">
        <f>VLOOKUP(A42,'MATER AKUN'!$A$7:$D$72,3,FALSE)</f>
        <v>0</v>
      </c>
      <c r="E42" s="69">
        <f>VLOOKUP(A42,'MATER AKUN'!$A$7:$D$71,4,FALSE)</f>
        <v>0</v>
      </c>
      <c r="F42" s="69">
        <f ca="1">SUMIF('JURNAL UMUM'!$A$9:$G$119,A42,'JURNAL UMUM'!$F$9:$G$120)</f>
        <v>2500000</v>
      </c>
      <c r="G42" s="69">
        <f ca="1">SUMIF('JURNAL UMUM'!$A$9:$G$120,A42,'JURNAL UMUM'!$G$9:$G$120)</f>
        <v>0</v>
      </c>
      <c r="H42" s="69">
        <f t="shared" ca="1" si="4"/>
        <v>2500000</v>
      </c>
      <c r="I42" s="69">
        <f t="shared" ca="1" si="2"/>
        <v>0</v>
      </c>
    </row>
    <row r="43" spans="1:9">
      <c r="A43" s="68">
        <v>61003</v>
      </c>
      <c r="B43" s="10" t="str">
        <f>VLOOKUP(A43,'[2]MASTER DATA'!$A$6:$E$58,2,FALSE)</f>
        <v>Beban Piutang Tak Tertagih</v>
      </c>
      <c r="C43" s="10"/>
      <c r="D43" s="69">
        <f>VLOOKUP(A43,'MATER AKUN'!$A$7:$D$72,3,FALSE)</f>
        <v>0</v>
      </c>
      <c r="E43" s="69">
        <f>VLOOKUP(A43,'MATER AKUN'!$A$7:$D$71,4,FALSE)</f>
        <v>0</v>
      </c>
      <c r="F43" s="69">
        <f ca="1">SUMIF('JURNAL UMUM'!$A$9:$G$119,A43,'JURNAL UMUM'!$F$9:$G$120)</f>
        <v>2901750</v>
      </c>
      <c r="G43" s="69">
        <f ca="1">SUMIF('JURNAL UMUM'!$A$9:$G$120,A43,'JURNAL UMUM'!$G$9:$G$120)</f>
        <v>0</v>
      </c>
      <c r="H43" s="69">
        <f t="shared" ca="1" si="4"/>
        <v>2901750</v>
      </c>
      <c r="I43" s="69">
        <f t="shared" ca="1" si="2"/>
        <v>0</v>
      </c>
    </row>
    <row r="44" spans="1:9">
      <c r="A44" s="68">
        <v>61004</v>
      </c>
      <c r="B44" s="10" t="str">
        <f>VLOOKUP(A44,'[2]MASTER DATA'!$A$6:$E$58,2,FALSE)</f>
        <v>Beban Listrik</v>
      </c>
      <c r="C44" s="10"/>
      <c r="D44" s="69">
        <f>VLOOKUP(A44,'MATER AKUN'!$A$7:$D$72,3,FALSE)</f>
        <v>0</v>
      </c>
      <c r="E44" s="69">
        <f>VLOOKUP(A44,'MATER AKUN'!$A$7:$D$71,4,FALSE)</f>
        <v>0</v>
      </c>
      <c r="F44" s="69">
        <f ca="1">SUMIF('JURNAL UMUM'!$A$9:$G$119,A44,'JURNAL UMUM'!$F$9:$G$120)</f>
        <v>175000</v>
      </c>
      <c r="G44" s="69">
        <f ca="1">SUMIF('JURNAL UMUM'!$A$9:$G$120,A44,'JURNAL UMUM'!$G$9:$G$120)</f>
        <v>0</v>
      </c>
      <c r="H44" s="69">
        <f t="shared" ca="1" si="4"/>
        <v>175000</v>
      </c>
      <c r="I44" s="69">
        <f t="shared" ca="1" si="2"/>
        <v>0</v>
      </c>
    </row>
    <row r="45" spans="1:9">
      <c r="A45" s="68">
        <v>61005</v>
      </c>
      <c r="B45" s="10" t="str">
        <f>VLOOKUP(A45,'[2]MASTER DATA'!$A$6:$E$58,2,FALSE)</f>
        <v>Beban Telepon</v>
      </c>
      <c r="C45" s="10"/>
      <c r="D45" s="69">
        <f>VLOOKUP(A45,'MATER AKUN'!$A$7:$D$72,3,FALSE)</f>
        <v>0</v>
      </c>
      <c r="E45" s="69">
        <f>VLOOKUP(A45,'MATER AKUN'!$A$7:$D$71,4,FALSE)</f>
        <v>0</v>
      </c>
      <c r="F45" s="69">
        <f ca="1">SUMIF('JURNAL UMUM'!$A$9:$G$119,A45,'JURNAL UMUM'!$F$9:$G$120)</f>
        <v>212500</v>
      </c>
      <c r="G45" s="69">
        <f ca="1">SUMIF('JURNAL UMUM'!$A$9:$G$120,A45,'JURNAL UMUM'!$G$9:$G$120)</f>
        <v>0</v>
      </c>
      <c r="H45" s="69">
        <f t="shared" ca="1" si="4"/>
        <v>212500</v>
      </c>
      <c r="I45" s="69">
        <f t="shared" ca="1" si="2"/>
        <v>0</v>
      </c>
    </row>
    <row r="46" spans="1:9">
      <c r="A46" s="68">
        <v>61006</v>
      </c>
      <c r="B46" s="10" t="str">
        <f>VLOOKUP(A46,'[2]MASTER DATA'!$A$6:$E$58,2,FALSE)</f>
        <v>Beban Penyusutan Peralatan Kantor</v>
      </c>
      <c r="C46" s="10"/>
      <c r="D46" s="69">
        <f>VLOOKUP(A46,'MATER AKUN'!$A$7:$D$72,3,FALSE)</f>
        <v>0</v>
      </c>
      <c r="E46" s="69">
        <f>VLOOKUP(A46,'MATER AKUN'!$A$7:$D$71,4,FALSE)</f>
        <v>0</v>
      </c>
      <c r="F46" s="69">
        <f ca="1">SUMIF('JURNAL UMUM'!$A$9:$G$119,A46,'JURNAL UMUM'!$F$9:$G$120)</f>
        <v>400000</v>
      </c>
      <c r="G46" s="69">
        <f ca="1">SUMIF('JURNAL UMUM'!$A$9:$G$120,A46,'JURNAL UMUM'!$G$9:$G$120)</f>
        <v>0</v>
      </c>
      <c r="H46" s="69">
        <f t="shared" ca="1" si="4"/>
        <v>400000</v>
      </c>
      <c r="I46" s="69">
        <f t="shared" ca="1" si="2"/>
        <v>0</v>
      </c>
    </row>
    <row r="47" spans="1:9">
      <c r="A47" s="68">
        <v>61007</v>
      </c>
      <c r="B47" s="10" t="str">
        <f>VLOOKUP(A47,'[2]MASTER DATA'!$A$6:$E$58,2,FALSE)</f>
        <v>Beban Penyusutan Kendaraan</v>
      </c>
      <c r="C47" s="10"/>
      <c r="D47" s="69">
        <f>VLOOKUP(A47,'MATER AKUN'!$A$7:$D$72,3,FALSE)</f>
        <v>0</v>
      </c>
      <c r="E47" s="69">
        <f>VLOOKUP(A47,'MATER AKUN'!$A$7:$D$71,4,FALSE)</f>
        <v>0</v>
      </c>
      <c r="F47" s="69">
        <f ca="1">SUMIF('JURNAL UMUM'!$A$9:$G$119,A47,'JURNAL UMUM'!$F$9:$G$120)</f>
        <v>500000</v>
      </c>
      <c r="G47" s="69">
        <f ca="1">SUMIF('JURNAL UMUM'!$A$9:$G$120,A47,'JURNAL UMUM'!$G$9:$G$120)</f>
        <v>0</v>
      </c>
      <c r="H47" s="69">
        <f t="shared" ca="1" si="4"/>
        <v>500000</v>
      </c>
      <c r="I47" s="69">
        <f t="shared" ca="1" si="2"/>
        <v>0</v>
      </c>
    </row>
    <row r="48" spans="1:9">
      <c r="A48" s="68">
        <v>61008</v>
      </c>
      <c r="B48" s="10" t="str">
        <f>VLOOKUP(A48,'[2]MASTER DATA'!$A$6:$E$58,2,FALSE)</f>
        <v>Beban Pemasaran</v>
      </c>
      <c r="C48" s="10"/>
      <c r="D48" s="69">
        <f>VLOOKUP(A48,'MATER AKUN'!$A$7:$D$72,3,FALSE)</f>
        <v>0</v>
      </c>
      <c r="E48" s="69">
        <f>VLOOKUP(A48,'MATER AKUN'!$A$7:$D$71,4,FALSE)</f>
        <v>0</v>
      </c>
      <c r="F48" s="69">
        <f ca="1">SUMIF('JURNAL UMUM'!$A$9:$G$119,A48,'JURNAL UMUM'!$F$9:$G$120)</f>
        <v>750000</v>
      </c>
      <c r="G48" s="69">
        <f ca="1">SUMIF('JURNAL UMUM'!$A$9:$G$120,A48,'JURNAL UMUM'!$G$9:$G$120)</f>
        <v>0</v>
      </c>
      <c r="H48" s="69">
        <f t="shared" ca="1" si="4"/>
        <v>750000</v>
      </c>
      <c r="I48" s="69">
        <f t="shared" ca="1" si="2"/>
        <v>0</v>
      </c>
    </row>
    <row r="49" spans="1:9">
      <c r="A49" s="68">
        <v>61009</v>
      </c>
      <c r="B49" s="10" t="str">
        <f>VLOOKUP(A49,'[2]MASTER DATA'!$A$6:$E$58,2,FALSE)</f>
        <v>Beban Trasportasi</v>
      </c>
      <c r="C49" s="10"/>
      <c r="D49" s="69">
        <f>VLOOKUP(A49,'MATER AKUN'!$A$7:$D$72,3,FALSE)</f>
        <v>0</v>
      </c>
      <c r="E49" s="69">
        <f>VLOOKUP(A49,'MATER AKUN'!$A$7:$D$71,4,FALSE)</f>
        <v>0</v>
      </c>
      <c r="F49" s="69">
        <f ca="1">SUMIF('JURNAL UMUM'!$A$9:$G$119,A49,'JURNAL UMUM'!$F$9:$G$120)</f>
        <v>250000</v>
      </c>
      <c r="G49" s="69">
        <f ca="1">SUMIF('JURNAL UMUM'!$A$9:$G$120,A49,'JURNAL UMUM'!$G$9:$G$120)</f>
        <v>0</v>
      </c>
      <c r="H49" s="69">
        <f t="shared" ca="1" si="4"/>
        <v>250000</v>
      </c>
      <c r="I49" s="69">
        <f t="shared" ca="1" si="2"/>
        <v>0</v>
      </c>
    </row>
    <row r="50" spans="1:9">
      <c r="A50" s="68">
        <v>61010</v>
      </c>
      <c r="B50" s="10" t="str">
        <f>VLOOKUP(A50,'[2]MASTER DATA'!$A$6:$E$58,2,FALSE)</f>
        <v>Beban Perawatan AC</v>
      </c>
      <c r="C50" s="10"/>
      <c r="D50" s="69">
        <f>VLOOKUP(A50,'MATER AKUN'!$A$7:$D$72,3,FALSE)</f>
        <v>0</v>
      </c>
      <c r="E50" s="69">
        <f>VLOOKUP(A50,'MATER AKUN'!$A$7:$D$71,4,FALSE)</f>
        <v>0</v>
      </c>
      <c r="F50" s="69">
        <f ca="1">SUMIF('JURNAL UMUM'!$A$9:$G$119,A50,'JURNAL UMUM'!$F$9:$G$120)</f>
        <v>200000</v>
      </c>
      <c r="G50" s="69">
        <f ca="1">SUMIF('JURNAL UMUM'!$A$9:$G$120,A50,'JURNAL UMUM'!$G$9:$G$120)</f>
        <v>0</v>
      </c>
      <c r="H50" s="69">
        <f t="shared" ca="1" si="4"/>
        <v>200000</v>
      </c>
      <c r="I50" s="69">
        <f t="shared" ca="1" si="2"/>
        <v>0</v>
      </c>
    </row>
    <row r="51" spans="1:9">
      <c r="A51" s="68">
        <v>61011</v>
      </c>
      <c r="B51" s="10" t="str">
        <f>VLOOKUP(A51,'[2]MASTER DATA'!$A$6:$E$58,2,FALSE)</f>
        <v>Beban Perlengkapan Kantor</v>
      </c>
      <c r="C51" s="10"/>
      <c r="D51" s="69">
        <f>VLOOKUP(A51,'MATER AKUN'!$A$7:$D$72,3,FALSE)</f>
        <v>0</v>
      </c>
      <c r="E51" s="69">
        <f>VLOOKUP(A51,'MATER AKUN'!$A$7:$D$71,4,FALSE)</f>
        <v>0</v>
      </c>
      <c r="F51" s="69">
        <f ca="1">SUMIF('JURNAL UMUM'!$A$9:$G$119,A51,'JURNAL UMUM'!$F$9:$G$120)</f>
        <v>50000</v>
      </c>
      <c r="G51" s="69">
        <f ca="1">SUMIF('JURNAL UMUM'!$A$9:$G$120,A51,'JURNAL UMUM'!$G$9:$G$120)</f>
        <v>0</v>
      </c>
      <c r="H51" s="69">
        <f t="shared" ca="1" si="4"/>
        <v>50000</v>
      </c>
      <c r="I51" s="69">
        <f t="shared" ca="1" si="2"/>
        <v>0</v>
      </c>
    </row>
    <row r="52" spans="1:9">
      <c r="A52" s="68">
        <v>61099</v>
      </c>
      <c r="B52" s="10" t="str">
        <f>VLOOKUP(A52,'[2]MASTER DATA'!$A$6:$E$58,2,FALSE)</f>
        <v>Beban Umum Lain-Lain</v>
      </c>
      <c r="C52" s="10"/>
      <c r="D52" s="69">
        <f>VLOOKUP(A52,'MATER AKUN'!$A$7:$D$72,3,FALSE)</f>
        <v>0</v>
      </c>
      <c r="E52" s="69">
        <f>VLOOKUP(A52,'MATER AKUN'!$A$7:$D$71,4,FALSE)</f>
        <v>0</v>
      </c>
      <c r="F52" s="69">
        <f ca="1">SUMIF('JURNAL UMUM'!$A$9:$G$119,A52,'JURNAL UMUM'!$F$9:$G$120)</f>
        <v>0</v>
      </c>
      <c r="G52" s="69">
        <f ca="1">SUMIF('JURNAL UMUM'!$A$9:$G$120,A52,'JURNAL UMUM'!$G$9:$G$120)</f>
        <v>0</v>
      </c>
      <c r="H52" s="69">
        <f t="shared" ca="1" si="4"/>
        <v>0</v>
      </c>
      <c r="I52" s="69">
        <f t="shared" ca="1" si="2"/>
        <v>0</v>
      </c>
    </row>
    <row r="53" spans="1:9">
      <c r="A53" s="68">
        <v>81001</v>
      </c>
      <c r="B53" s="10" t="str">
        <f>VLOOKUP(A53,'[2]MASTER DATA'!$A$6:$E$58,2,FALSE)</f>
        <v>Laba Penjualan Aktiva Tetap</v>
      </c>
      <c r="C53" s="10"/>
      <c r="D53" s="69">
        <f>VLOOKUP(A53,'MATER AKUN'!$A$7:$D$72,3,FALSE)</f>
        <v>0</v>
      </c>
      <c r="E53" s="69">
        <f>VLOOKUP(A53,'MATER AKUN'!$A$7:$D$71,4,FALSE)</f>
        <v>0</v>
      </c>
      <c r="F53" s="69">
        <f ca="1">SUMIF('JURNAL UMUM'!$A$9:$G$119,A53,'JURNAL UMUM'!$F$9:$G$120)</f>
        <v>0</v>
      </c>
      <c r="G53" s="69">
        <f ca="1">SUMIF('JURNAL UMUM'!$A$9:$G$120,A53,'JURNAL UMUM'!$G$9:$G$120)</f>
        <v>1000000</v>
      </c>
      <c r="H53" s="69">
        <f t="shared" ca="1" si="4"/>
        <v>0</v>
      </c>
      <c r="I53" s="69">
        <f t="shared" ca="1" si="2"/>
        <v>1000000</v>
      </c>
    </row>
    <row r="54" spans="1:9">
      <c r="A54" s="68">
        <v>81002</v>
      </c>
      <c r="B54" s="10" t="str">
        <f>VLOOKUP(A54,'[2]MASTER DATA'!$A$6:$E$58,2,FALSE)</f>
        <v>Pendapatan Jasa Giro</v>
      </c>
      <c r="C54" s="10"/>
      <c r="D54" s="69">
        <f>VLOOKUP(A54,'MATER AKUN'!$A$7:$D$72,3,FALSE)</f>
        <v>0</v>
      </c>
      <c r="E54" s="69">
        <f>VLOOKUP(A54,'MATER AKUN'!$A$7:$D$71,4,FALSE)</f>
        <v>0</v>
      </c>
      <c r="F54" s="69">
        <f ca="1">SUMIF('JURNAL UMUM'!$A$9:$G$119,A54,'JURNAL UMUM'!$F$9:$G$120)</f>
        <v>0</v>
      </c>
      <c r="G54" s="69">
        <f ca="1">SUMIF('JURNAL UMUM'!$A$9:$G$120,A54,'JURNAL UMUM'!$G$9:$G$120)</f>
        <v>1350000</v>
      </c>
      <c r="H54" s="69">
        <f t="shared" ca="1" si="4"/>
        <v>0</v>
      </c>
      <c r="I54" s="69">
        <f t="shared" ca="1" si="2"/>
        <v>1350000</v>
      </c>
    </row>
    <row r="55" spans="1:9">
      <c r="A55" s="68">
        <v>91001</v>
      </c>
      <c r="B55" s="10" t="str">
        <f>VLOOKUP(A55,'[2]MASTER DATA'!$A$6:$E$58,2,FALSE)</f>
        <v>Beban Administrasi Bank</v>
      </c>
      <c r="C55" s="10"/>
      <c r="D55" s="69">
        <f>VLOOKUP(A55,'MATER AKUN'!$A$7:$D$72,3,FALSE)</f>
        <v>0</v>
      </c>
      <c r="E55" s="69">
        <f>VLOOKUP(A55,'MATER AKUN'!$A$7:$D$71,4,FALSE)</f>
        <v>0</v>
      </c>
      <c r="F55" s="69">
        <f ca="1">SUMIF('JURNAL UMUM'!$A$9:$G$119,A55,'JURNAL UMUM'!$F$9:$G$120)</f>
        <v>150000</v>
      </c>
      <c r="G55" s="69">
        <f ca="1">SUMIF('JURNAL UMUM'!$A$9:$G$120,A55,'JURNAL UMUM'!$G$9:$G$120)</f>
        <v>0</v>
      </c>
      <c r="H55" s="69">
        <f t="shared" ca="1" si="4"/>
        <v>150000</v>
      </c>
      <c r="I55" s="69">
        <f t="shared" ca="1" si="2"/>
        <v>0</v>
      </c>
    </row>
    <row r="56" spans="1:9">
      <c r="A56" s="68">
        <v>91002</v>
      </c>
      <c r="B56" s="10" t="str">
        <f>VLOOKUP(A56,'[2]MASTER DATA'!$A$6:$E$58,2,FALSE)</f>
        <v>Beban Bunga</v>
      </c>
      <c r="C56" s="10"/>
      <c r="D56" s="69">
        <f>VLOOKUP(A56,'MATER AKUN'!$A$7:$D$72,3,FALSE)</f>
        <v>0</v>
      </c>
      <c r="E56" s="69">
        <f>VLOOKUP(A56,'MATER AKUN'!$A$7:$D$71,4,FALSE)</f>
        <v>0</v>
      </c>
      <c r="F56" s="69">
        <f ca="1">SUMIF('JURNAL UMUM'!$A$9:$G$119,A56,'JURNAL UMUM'!$F$9:$G$120)</f>
        <v>1500000</v>
      </c>
      <c r="G56" s="69">
        <f ca="1">SUMIF('JURNAL UMUM'!$A$9:$G$120,A56,'JURNAL UMUM'!$G$9:$G$120)</f>
        <v>0</v>
      </c>
      <c r="H56" s="69">
        <f t="shared" ca="1" si="4"/>
        <v>1500000</v>
      </c>
      <c r="I56" s="69">
        <f t="shared" ca="1" si="2"/>
        <v>0</v>
      </c>
    </row>
    <row r="57" spans="1:9">
      <c r="A57" s="70"/>
      <c r="B57" s="71"/>
      <c r="C57" s="72"/>
      <c r="D57" s="69"/>
      <c r="E57" s="69"/>
      <c r="F57" s="69"/>
      <c r="G57" s="69"/>
      <c r="H57" s="69"/>
      <c r="I57" s="69"/>
    </row>
    <row r="58" spans="1:9" ht="15.75">
      <c r="A58" s="354" t="s">
        <v>214</v>
      </c>
      <c r="B58" s="355"/>
      <c r="C58" s="356"/>
      <c r="D58" s="73">
        <f t="shared" ref="D58:I58" si="5">SUM(D10:D56)</f>
        <v>357130000</v>
      </c>
      <c r="E58" s="73">
        <f t="shared" si="5"/>
        <v>357130000</v>
      </c>
      <c r="F58" s="73">
        <f t="shared" ca="1" si="5"/>
        <v>479866500</v>
      </c>
      <c r="G58" s="74">
        <f t="shared" ca="1" si="5"/>
        <v>479866500</v>
      </c>
      <c r="H58" s="74">
        <f t="shared" ca="1" si="5"/>
        <v>492379000</v>
      </c>
      <c r="I58" s="74">
        <f t="shared" ca="1" si="5"/>
        <v>492379000</v>
      </c>
    </row>
  </sheetData>
  <mergeCells count="10">
    <mergeCell ref="A58:C58"/>
    <mergeCell ref="A8:A9"/>
    <mergeCell ref="B8:B9"/>
    <mergeCell ref="C8:C9"/>
    <mergeCell ref="A2:I2"/>
    <mergeCell ref="A3:I3"/>
    <mergeCell ref="A4:I4"/>
    <mergeCell ref="D8:E8"/>
    <mergeCell ref="F8:G8"/>
    <mergeCell ref="H8:I8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opLeftCell="A24" workbookViewId="0">
      <selection activeCell="L21" sqref="L21"/>
    </sheetView>
  </sheetViews>
  <sheetFormatPr defaultColWidth="9" defaultRowHeight="15"/>
  <cols>
    <col min="1" max="1" width="0.140625" style="26" customWidth="1"/>
    <col min="2" max="2" width="5.140625" style="26" customWidth="1"/>
    <col min="3" max="3" width="11.7109375" style="26" customWidth="1"/>
    <col min="4" max="4" width="4.85546875" style="26" customWidth="1"/>
    <col min="5" max="5" width="4.5703125" style="26" customWidth="1"/>
    <col min="6" max="6" width="3.85546875" style="26" customWidth="1"/>
    <col min="7" max="11" width="9" style="26"/>
    <col min="12" max="12" width="14.85546875" style="26" customWidth="1"/>
    <col min="13" max="13" width="14.5703125" style="26" customWidth="1"/>
    <col min="14" max="14" width="13.7109375" style="26" customWidth="1"/>
    <col min="15" max="15" width="6.5703125" style="26" customWidth="1"/>
    <col min="16" max="16384" width="9" style="26"/>
  </cols>
  <sheetData>
    <row r="1" spans="1:15" ht="11.25" customHeight="1"/>
    <row r="2" spans="1:15" ht="15.75">
      <c r="B2" s="362" t="s">
        <v>215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4"/>
    </row>
    <row r="3" spans="1:15" ht="15.75">
      <c r="B3" s="365" t="s">
        <v>216</v>
      </c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7"/>
    </row>
    <row r="4" spans="1:15" ht="15.75">
      <c r="B4" s="359" t="s">
        <v>217</v>
      </c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1"/>
    </row>
    <row r="5" spans="1:15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2"/>
    </row>
    <row r="6" spans="1:15">
      <c r="B6" s="56">
        <v>40000</v>
      </c>
      <c r="C6" s="34" t="s">
        <v>218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7"/>
    </row>
    <row r="7" spans="1:15">
      <c r="A7" s="26">
        <v>41000</v>
      </c>
      <c r="B7" s="57">
        <v>41000</v>
      </c>
      <c r="C7" s="1"/>
      <c r="D7" s="368" t="str">
        <f>VLOOKUP(A7,'NERACA SALDO'!$A$10:$I$56,2,FALSE)</f>
        <v>Penjualan</v>
      </c>
      <c r="E7" s="368"/>
      <c r="F7" s="368"/>
      <c r="G7" s="368"/>
      <c r="H7" s="368"/>
      <c r="I7" s="368"/>
      <c r="J7" s="368"/>
      <c r="K7" s="368"/>
      <c r="L7" s="368"/>
      <c r="M7" s="38">
        <f ca="1">VLOOKUP(B7,'NERACA SALDO'!$A$10:$I$56,9,FALSE)</f>
        <v>142385000</v>
      </c>
      <c r="N7" s="38"/>
      <c r="O7" s="37"/>
    </row>
    <row r="8" spans="1:15">
      <c r="A8" s="26">
        <v>42000</v>
      </c>
      <c r="B8" s="57">
        <v>42000</v>
      </c>
      <c r="C8" s="1"/>
      <c r="D8" s="58"/>
      <c r="E8" s="368" t="str">
        <f>VLOOKUP(A8,'NERACA SALDO'!$A$10:$I$56,2,FALSE)</f>
        <v>Retur Penjualan</v>
      </c>
      <c r="F8" s="368"/>
      <c r="G8" s="368"/>
      <c r="H8" s="368"/>
      <c r="I8" s="368"/>
      <c r="J8" s="368"/>
      <c r="K8" s="35"/>
      <c r="L8" s="38">
        <f ca="1">VLOOKUP(B8,'NERACA SALDO'!$A$10:$I$56,8,FALSE)</f>
        <v>2125000</v>
      </c>
      <c r="M8" s="38"/>
      <c r="N8" s="38"/>
      <c r="O8" s="37"/>
    </row>
    <row r="9" spans="1:15">
      <c r="A9" s="26">
        <v>43000</v>
      </c>
      <c r="B9" s="57">
        <v>43000</v>
      </c>
      <c r="C9" s="1"/>
      <c r="D9" s="1"/>
      <c r="E9" s="368" t="str">
        <f>VLOOKUP(A9,'NERACA SALDO'!$A$10:$I$56,2,FALSE)</f>
        <v>Potongan Penjualan</v>
      </c>
      <c r="F9" s="368"/>
      <c r="G9" s="368"/>
      <c r="H9" s="368"/>
      <c r="I9" s="368"/>
      <c r="J9" s="368"/>
      <c r="K9" s="35"/>
      <c r="L9" s="38">
        <f ca="1">VLOOKUP(B9,'NERACA SALDO'!$A$10:$I$56,8,FALSE)</f>
        <v>3022500</v>
      </c>
      <c r="M9" s="38"/>
      <c r="N9" s="38"/>
      <c r="O9" s="37"/>
    </row>
    <row r="10" spans="1:15">
      <c r="B10" s="57"/>
      <c r="C10" s="1"/>
      <c r="D10" s="34" t="s">
        <v>219</v>
      </c>
      <c r="E10" s="34"/>
      <c r="F10" s="34"/>
      <c r="G10" s="34"/>
      <c r="H10" s="34"/>
      <c r="I10" s="1"/>
      <c r="J10" s="1"/>
      <c r="K10" s="1"/>
      <c r="L10" s="38"/>
      <c r="M10" s="60">
        <f ca="1">SUM(L8:L9)</f>
        <v>5147500</v>
      </c>
      <c r="N10" s="61"/>
      <c r="O10" s="37"/>
    </row>
    <row r="11" spans="1:15">
      <c r="B11" s="57"/>
      <c r="C11" s="1"/>
      <c r="D11" s="34"/>
      <c r="E11" s="34" t="s">
        <v>105</v>
      </c>
      <c r="F11" s="34"/>
      <c r="G11" s="34"/>
      <c r="H11" s="34"/>
      <c r="I11" s="1"/>
      <c r="J11" s="1"/>
      <c r="K11" s="1"/>
      <c r="L11" s="38"/>
      <c r="M11" s="61">
        <f ca="1">M7-M10</f>
        <v>137237500</v>
      </c>
      <c r="N11" s="61"/>
      <c r="O11" s="37"/>
    </row>
    <row r="12" spans="1:15">
      <c r="B12" s="57"/>
      <c r="C12" s="1"/>
      <c r="D12" s="1"/>
      <c r="E12" s="1"/>
      <c r="F12" s="1"/>
      <c r="G12" s="1"/>
      <c r="H12" s="1"/>
      <c r="I12" s="1"/>
      <c r="J12" s="1"/>
      <c r="K12" s="1"/>
      <c r="L12" s="38"/>
      <c r="M12" s="61"/>
      <c r="N12" s="61"/>
      <c r="O12" s="37"/>
    </row>
    <row r="13" spans="1:15">
      <c r="B13" s="56">
        <v>50000</v>
      </c>
      <c r="C13" s="34" t="s">
        <v>220</v>
      </c>
      <c r="D13" s="1"/>
      <c r="E13" s="1"/>
      <c r="F13" s="1"/>
      <c r="G13" s="1"/>
      <c r="H13" s="1"/>
      <c r="I13" s="1"/>
      <c r="J13" s="1"/>
      <c r="K13" s="1"/>
      <c r="L13" s="38"/>
      <c r="M13" s="61"/>
      <c r="N13" s="61"/>
      <c r="O13" s="37"/>
    </row>
    <row r="14" spans="1:15">
      <c r="A14" s="26">
        <v>51000</v>
      </c>
      <c r="B14" s="57">
        <v>51000</v>
      </c>
      <c r="C14" s="1"/>
      <c r="D14" s="368" t="str">
        <f>VLOOKUP(A14,'NERACA SALDO'!$A$10:$I$56,2,FALSE)</f>
        <v>Harga Pokok Penjualan</v>
      </c>
      <c r="E14" s="368"/>
      <c r="F14" s="368"/>
      <c r="G14" s="368"/>
      <c r="H14" s="368"/>
      <c r="I14" s="368"/>
      <c r="J14" s="368"/>
      <c r="K14" s="368"/>
      <c r="L14" s="38">
        <f ca="1">VLOOKUP(B14,'NERACA SALDO'!$A$10:$I$56,8,FALSE)</f>
        <v>116340000</v>
      </c>
      <c r="M14" s="61"/>
      <c r="N14" s="61"/>
      <c r="O14" s="37"/>
    </row>
    <row r="15" spans="1:15">
      <c r="B15" s="57"/>
      <c r="C15" s="1"/>
      <c r="D15" s="34" t="s">
        <v>221</v>
      </c>
      <c r="E15" s="34"/>
      <c r="F15" s="1"/>
      <c r="G15" s="1"/>
      <c r="H15" s="1"/>
      <c r="I15" s="1"/>
      <c r="J15" s="1"/>
      <c r="K15" s="1"/>
      <c r="L15" s="38"/>
      <c r="M15" s="60">
        <f ca="1">L14</f>
        <v>116340000</v>
      </c>
      <c r="N15" s="61"/>
      <c r="O15" s="37"/>
    </row>
    <row r="16" spans="1:15">
      <c r="B16" s="57"/>
      <c r="C16" s="1"/>
      <c r="D16" s="34"/>
      <c r="E16" s="34" t="s">
        <v>222</v>
      </c>
      <c r="F16" s="1"/>
      <c r="G16" s="1"/>
      <c r="H16" s="1"/>
      <c r="I16" s="1"/>
      <c r="J16" s="1"/>
      <c r="K16" s="1"/>
      <c r="L16" s="38"/>
      <c r="M16" s="61"/>
      <c r="N16" s="61">
        <f ca="1">M11-M15</f>
        <v>20897500</v>
      </c>
      <c r="O16" s="37"/>
    </row>
    <row r="17" spans="1:15">
      <c r="B17" s="57"/>
      <c r="C17" s="1"/>
      <c r="D17" s="1"/>
      <c r="E17" s="1"/>
      <c r="F17" s="1"/>
      <c r="G17" s="1"/>
      <c r="H17" s="1"/>
      <c r="I17" s="1"/>
      <c r="J17" s="1"/>
      <c r="K17" s="1"/>
      <c r="L17" s="38"/>
      <c r="M17" s="61"/>
      <c r="N17" s="61"/>
      <c r="O17" s="37"/>
    </row>
    <row r="18" spans="1:15">
      <c r="B18" s="56">
        <v>60000</v>
      </c>
      <c r="C18" s="34" t="s">
        <v>223</v>
      </c>
      <c r="D18" s="1"/>
      <c r="E18" s="1"/>
      <c r="F18" s="1"/>
      <c r="G18" s="1"/>
      <c r="H18" s="1"/>
      <c r="I18" s="1"/>
      <c r="J18" s="1"/>
      <c r="K18" s="1"/>
      <c r="L18" s="38"/>
      <c r="M18" s="61"/>
      <c r="N18" s="61"/>
      <c r="O18" s="37"/>
    </row>
    <row r="19" spans="1:15">
      <c r="A19" s="26">
        <v>61001</v>
      </c>
      <c r="B19" s="57">
        <v>61001</v>
      </c>
      <c r="C19" s="1"/>
      <c r="D19" s="368" t="str">
        <f>VLOOKUP(A19,'NERACA SALDO'!$A$10:$I$56,2,FALSE)</f>
        <v>Beban Gaji Karyawan</v>
      </c>
      <c r="E19" s="368"/>
      <c r="F19" s="368"/>
      <c r="G19" s="368"/>
      <c r="H19" s="368"/>
      <c r="I19" s="368"/>
      <c r="J19" s="368"/>
      <c r="K19" s="368"/>
      <c r="L19" s="38">
        <f ca="1">VLOOKUP(B19,'NERACA SALDO'!$A$10:$I$56,8,FALSE)</f>
        <v>14500000</v>
      </c>
      <c r="M19" s="61"/>
      <c r="N19" s="61"/>
      <c r="O19" s="37"/>
    </row>
    <row r="20" spans="1:15">
      <c r="A20" s="26">
        <v>61002</v>
      </c>
      <c r="B20" s="57">
        <v>61002</v>
      </c>
      <c r="C20" s="1"/>
      <c r="D20" s="368" t="str">
        <f>VLOOKUP(A20,'NERACA SALDO'!$A$10:$I$56,2,FALSE)</f>
        <v>Beban Sewa</v>
      </c>
      <c r="E20" s="368"/>
      <c r="F20" s="368"/>
      <c r="G20" s="368"/>
      <c r="H20" s="368"/>
      <c r="I20" s="368"/>
      <c r="J20" s="368"/>
      <c r="K20" s="368"/>
      <c r="L20" s="38">
        <f ca="1">VLOOKUP(B20,'NERACA SALDO'!$A$10:$I$56,8,FALSE)</f>
        <v>2500000</v>
      </c>
      <c r="M20" s="61"/>
      <c r="N20" s="61"/>
      <c r="O20" s="37"/>
    </row>
    <row r="21" spans="1:15">
      <c r="A21" s="26">
        <v>61003</v>
      </c>
      <c r="B21" s="57">
        <v>61003</v>
      </c>
      <c r="C21" s="1"/>
      <c r="D21" s="368" t="str">
        <f>VLOOKUP(A21,'NERACA SALDO'!$A$10:$I$56,2,FALSE)</f>
        <v>Beban Piutang Tak Tertagih</v>
      </c>
      <c r="E21" s="368"/>
      <c r="F21" s="368"/>
      <c r="G21" s="368"/>
      <c r="H21" s="368"/>
      <c r="I21" s="368"/>
      <c r="J21" s="368"/>
      <c r="K21" s="368"/>
      <c r="L21" s="38">
        <f ca="1">VLOOKUP(B21,'NERACA SALDO'!$A$10:$I$56,8,FALSE)</f>
        <v>2901750</v>
      </c>
      <c r="M21" s="61"/>
      <c r="N21" s="61"/>
      <c r="O21" s="37"/>
    </row>
    <row r="22" spans="1:15">
      <c r="A22" s="26">
        <v>61004</v>
      </c>
      <c r="B22" s="57">
        <v>61004</v>
      </c>
      <c r="C22" s="1"/>
      <c r="D22" s="368" t="str">
        <f>VLOOKUP(A22,'NERACA SALDO'!$A$10:$I$56,2,FALSE)</f>
        <v>Beban Listrik</v>
      </c>
      <c r="E22" s="368"/>
      <c r="F22" s="368"/>
      <c r="G22" s="368"/>
      <c r="H22" s="368"/>
      <c r="I22" s="368"/>
      <c r="J22" s="368"/>
      <c r="K22" s="368"/>
      <c r="L22" s="38">
        <f ca="1">VLOOKUP(B22,'NERACA SALDO'!$A$10:$I$56,8,FALSE)</f>
        <v>175000</v>
      </c>
      <c r="M22" s="61"/>
      <c r="N22" s="61"/>
      <c r="O22" s="37"/>
    </row>
    <row r="23" spans="1:15">
      <c r="A23" s="26">
        <v>61005</v>
      </c>
      <c r="B23" s="57">
        <v>61005</v>
      </c>
      <c r="C23" s="1"/>
      <c r="D23" s="368" t="str">
        <f>VLOOKUP(A23,'NERACA SALDO'!$A$10:$I$56,2,FALSE)</f>
        <v>Beban Telepon</v>
      </c>
      <c r="E23" s="368"/>
      <c r="F23" s="368"/>
      <c r="G23" s="368"/>
      <c r="H23" s="368"/>
      <c r="I23" s="368"/>
      <c r="J23" s="368"/>
      <c r="K23" s="368"/>
      <c r="L23" s="38">
        <f ca="1">VLOOKUP(B23,'NERACA SALDO'!$A$10:$I$56,8,FALSE)</f>
        <v>212500</v>
      </c>
      <c r="M23" s="61"/>
      <c r="N23" s="61"/>
      <c r="O23" s="37"/>
    </row>
    <row r="24" spans="1:15">
      <c r="A24" s="26">
        <v>61006</v>
      </c>
      <c r="B24" s="57">
        <v>61006</v>
      </c>
      <c r="C24" s="1"/>
      <c r="D24" s="368" t="str">
        <f>VLOOKUP(A24,'NERACA SALDO'!$A$10:$I$56,2,FALSE)</f>
        <v>Beban Penyusutan Peralatan Kantor</v>
      </c>
      <c r="E24" s="368"/>
      <c r="F24" s="368"/>
      <c r="G24" s="368"/>
      <c r="H24" s="368"/>
      <c r="I24" s="368"/>
      <c r="J24" s="368"/>
      <c r="K24" s="368"/>
      <c r="L24" s="38">
        <f ca="1">VLOOKUP(B24,'NERACA SALDO'!$A$10:$I$56,8,FALSE)</f>
        <v>400000</v>
      </c>
      <c r="M24" s="61"/>
      <c r="N24" s="61"/>
      <c r="O24" s="37"/>
    </row>
    <row r="25" spans="1:15">
      <c r="A25" s="26">
        <v>61007</v>
      </c>
      <c r="B25" s="57">
        <v>61007</v>
      </c>
      <c r="C25" s="1"/>
      <c r="D25" s="368" t="str">
        <f>VLOOKUP(A25,'NERACA SALDO'!$A$10:$I$56,2,FALSE)</f>
        <v>Beban Penyusutan Kendaraan</v>
      </c>
      <c r="E25" s="368"/>
      <c r="F25" s="368"/>
      <c r="G25" s="368"/>
      <c r="H25" s="368"/>
      <c r="I25" s="368"/>
      <c r="J25" s="368"/>
      <c r="K25" s="368"/>
      <c r="L25" s="38">
        <f ca="1">VLOOKUP(B25,'NERACA SALDO'!$A$10:$I$56,8,FALSE)</f>
        <v>500000</v>
      </c>
      <c r="M25" s="61"/>
      <c r="N25" s="61"/>
      <c r="O25" s="37"/>
    </row>
    <row r="26" spans="1:15">
      <c r="A26" s="26">
        <v>61008</v>
      </c>
      <c r="B26" s="57">
        <v>61008</v>
      </c>
      <c r="C26" s="1"/>
      <c r="D26" s="368" t="str">
        <f>VLOOKUP(A26,'NERACA SALDO'!$A$10:$I$56,2,FALSE)</f>
        <v>Beban Pemasaran</v>
      </c>
      <c r="E26" s="368"/>
      <c r="F26" s="368"/>
      <c r="G26" s="368"/>
      <c r="H26" s="368"/>
      <c r="I26" s="368"/>
      <c r="J26" s="368"/>
      <c r="K26" s="368"/>
      <c r="L26" s="38">
        <f ca="1">VLOOKUP(B26,'NERACA SALDO'!$A$10:$I$56,8,FALSE)</f>
        <v>750000</v>
      </c>
      <c r="M26" s="61"/>
      <c r="N26" s="61"/>
      <c r="O26" s="37"/>
    </row>
    <row r="27" spans="1:15">
      <c r="A27" s="26">
        <v>61009</v>
      </c>
      <c r="B27" s="57">
        <v>61009</v>
      </c>
      <c r="C27" s="1"/>
      <c r="D27" s="368" t="str">
        <f>VLOOKUP(A27,'NERACA SALDO'!$A$10:$I$56,2,FALSE)</f>
        <v>Beban Trasportasi</v>
      </c>
      <c r="E27" s="368"/>
      <c r="F27" s="368"/>
      <c r="G27" s="368"/>
      <c r="H27" s="368"/>
      <c r="I27" s="368"/>
      <c r="J27" s="368"/>
      <c r="K27" s="368"/>
      <c r="L27" s="38">
        <f ca="1">VLOOKUP(B27,'NERACA SALDO'!$A$10:$I$56,8,FALSE)</f>
        <v>250000</v>
      </c>
      <c r="M27" s="61"/>
      <c r="N27" s="61"/>
      <c r="O27" s="37"/>
    </row>
    <row r="28" spans="1:15">
      <c r="A28" s="26">
        <v>61010</v>
      </c>
      <c r="B28" s="57">
        <v>61010</v>
      </c>
      <c r="C28" s="1"/>
      <c r="D28" s="368" t="str">
        <f>VLOOKUP(A28,'NERACA SALDO'!$A$10:$I$56,2,FALSE)</f>
        <v>Beban Perawatan AC</v>
      </c>
      <c r="E28" s="368"/>
      <c r="F28" s="368"/>
      <c r="G28" s="368"/>
      <c r="H28" s="368"/>
      <c r="I28" s="368"/>
      <c r="J28" s="368"/>
      <c r="K28" s="368"/>
      <c r="L28" s="38">
        <f ca="1">VLOOKUP(B28,'NERACA SALDO'!$A$10:$I$56,8,FALSE)</f>
        <v>200000</v>
      </c>
      <c r="M28" s="61"/>
      <c r="N28" s="61"/>
      <c r="O28" s="37"/>
    </row>
    <row r="29" spans="1:15">
      <c r="A29" s="26">
        <v>61011</v>
      </c>
      <c r="B29" s="57">
        <v>61011</v>
      </c>
      <c r="C29" s="1"/>
      <c r="D29" s="368" t="str">
        <f>VLOOKUP(A29,'NERACA SALDO'!$A$10:$I$56,2,FALSE)</f>
        <v>Beban Perlengkapan Kantor</v>
      </c>
      <c r="E29" s="368"/>
      <c r="F29" s="368"/>
      <c r="G29" s="368"/>
      <c r="H29" s="368"/>
      <c r="I29" s="368"/>
      <c r="J29" s="368"/>
      <c r="K29" s="368"/>
      <c r="L29" s="38">
        <f ca="1">VLOOKUP(B29,'NERACA SALDO'!$A$10:$I$56,8,FALSE)</f>
        <v>50000</v>
      </c>
      <c r="M29" s="61"/>
      <c r="N29" s="61"/>
      <c r="O29" s="37"/>
    </row>
    <row r="30" spans="1:15">
      <c r="A30" s="26">
        <v>61099</v>
      </c>
      <c r="B30" s="57">
        <v>61099</v>
      </c>
      <c r="C30" s="1"/>
      <c r="D30" s="368" t="str">
        <f>VLOOKUP(A30,'NERACA SALDO'!$A$10:$I$56,2,FALSE)</f>
        <v>Beban Umum Lain-Lain</v>
      </c>
      <c r="E30" s="368"/>
      <c r="F30" s="368"/>
      <c r="G30" s="368"/>
      <c r="H30" s="368"/>
      <c r="I30" s="368"/>
      <c r="J30" s="368"/>
      <c r="K30" s="368"/>
      <c r="L30" s="38">
        <f ca="1">VLOOKUP(B30,'NERACA SALDO'!$A$10:$I$56,8,FALSE)</f>
        <v>0</v>
      </c>
      <c r="M30" s="61"/>
      <c r="N30" s="61"/>
      <c r="O30" s="37"/>
    </row>
    <row r="31" spans="1:15">
      <c r="B31" s="57"/>
      <c r="C31" s="1"/>
      <c r="D31" s="34" t="s">
        <v>224</v>
      </c>
      <c r="E31" s="34"/>
      <c r="F31" s="1"/>
      <c r="G31" s="1"/>
      <c r="H31" s="1"/>
      <c r="I31" s="1"/>
      <c r="J31" s="1"/>
      <c r="K31" s="1"/>
      <c r="L31" s="38"/>
      <c r="M31" s="61"/>
      <c r="N31" s="60">
        <f ca="1">SUM(L19:L30)</f>
        <v>22439250</v>
      </c>
      <c r="O31" s="37"/>
    </row>
    <row r="32" spans="1:15">
      <c r="B32" s="57"/>
      <c r="C32" s="1"/>
      <c r="D32" s="34"/>
      <c r="E32" s="34" t="s">
        <v>225</v>
      </c>
      <c r="F32" s="1"/>
      <c r="G32" s="1"/>
      <c r="H32" s="1"/>
      <c r="I32" s="1"/>
      <c r="J32" s="1"/>
      <c r="K32" s="1"/>
      <c r="L32" s="38"/>
      <c r="M32" s="61"/>
      <c r="N32" s="61">
        <f ca="1">N16-N31</f>
        <v>-1541750</v>
      </c>
      <c r="O32" s="37"/>
    </row>
    <row r="33" spans="1:15">
      <c r="B33" s="57"/>
      <c r="C33" s="1"/>
      <c r="D33" s="1"/>
      <c r="E33" s="1"/>
      <c r="F33" s="1"/>
      <c r="G33" s="1"/>
      <c r="H33" s="1"/>
      <c r="I33" s="1"/>
      <c r="J33" s="1"/>
      <c r="K33" s="1"/>
      <c r="L33" s="38"/>
      <c r="M33" s="61"/>
      <c r="N33" s="61"/>
      <c r="O33" s="37"/>
    </row>
    <row r="34" spans="1:15">
      <c r="B34" s="57"/>
      <c r="C34" s="34" t="s">
        <v>226</v>
      </c>
      <c r="D34" s="1"/>
      <c r="E34" s="1"/>
      <c r="F34" s="1"/>
      <c r="G34" s="1"/>
      <c r="H34" s="1"/>
      <c r="I34" s="1"/>
      <c r="J34" s="1"/>
      <c r="K34" s="1"/>
      <c r="L34" s="38"/>
      <c r="M34" s="61"/>
      <c r="N34" s="61"/>
      <c r="O34" s="37"/>
    </row>
    <row r="35" spans="1:15">
      <c r="B35" s="56">
        <v>80000</v>
      </c>
      <c r="C35" s="1"/>
      <c r="D35" s="59" t="s">
        <v>227</v>
      </c>
      <c r="E35" s="1"/>
      <c r="F35" s="1"/>
      <c r="G35" s="1"/>
      <c r="H35" s="1"/>
      <c r="I35" s="1"/>
      <c r="J35" s="1"/>
      <c r="K35" s="1"/>
      <c r="L35" s="38"/>
      <c r="M35" s="61"/>
      <c r="N35" s="61"/>
      <c r="O35" s="37"/>
    </row>
    <row r="36" spans="1:15">
      <c r="A36" s="26">
        <v>81001</v>
      </c>
      <c r="B36" s="57">
        <v>81001</v>
      </c>
      <c r="C36" s="1"/>
      <c r="D36" s="368" t="str">
        <f>VLOOKUP(A36,'NERACA SALDO'!$A$10:$I$56,2,FALSE)</f>
        <v>Laba Penjualan Aktiva Tetap</v>
      </c>
      <c r="E36" s="368"/>
      <c r="F36" s="368"/>
      <c r="G36" s="368"/>
      <c r="H36" s="368"/>
      <c r="I36" s="368"/>
      <c r="J36" s="368"/>
      <c r="K36" s="368"/>
      <c r="L36" s="38">
        <f ca="1">VLOOKUP(B36,'NERACA SALDO'!$A$10:$I$56,9,FALSE)</f>
        <v>1000000</v>
      </c>
      <c r="M36" s="41"/>
      <c r="N36" s="61"/>
      <c r="O36" s="37"/>
    </row>
    <row r="37" spans="1:15">
      <c r="A37" s="26">
        <v>81002</v>
      </c>
      <c r="B37" s="57">
        <v>81002</v>
      </c>
      <c r="C37" s="1"/>
      <c r="D37" s="368" t="str">
        <f>VLOOKUP(A37,'NERACA SALDO'!$A$10:$I$56,2,FALSE)</f>
        <v>Pendapatan Jasa Giro</v>
      </c>
      <c r="E37" s="368"/>
      <c r="F37" s="368"/>
      <c r="G37" s="368"/>
      <c r="H37" s="368"/>
      <c r="I37" s="368"/>
      <c r="J37" s="368"/>
      <c r="K37" s="368"/>
      <c r="L37" s="38">
        <f ca="1">VLOOKUP(B37,'NERACA SALDO'!$A$10:$I$56,9,FALSE)</f>
        <v>1350000</v>
      </c>
      <c r="M37" s="41"/>
      <c r="N37" s="61"/>
      <c r="O37" s="37"/>
    </row>
    <row r="38" spans="1:15">
      <c r="B38" s="57"/>
      <c r="C38" s="1"/>
      <c r="D38" s="34"/>
      <c r="E38" s="34" t="s">
        <v>228</v>
      </c>
      <c r="F38" s="1"/>
      <c r="G38" s="1"/>
      <c r="H38" s="1"/>
      <c r="I38" s="1"/>
      <c r="J38" s="1"/>
      <c r="K38" s="1"/>
      <c r="L38" s="38"/>
      <c r="M38" s="61">
        <f ca="1">SUM(L36:L37)</f>
        <v>2350000</v>
      </c>
      <c r="N38" s="61"/>
      <c r="O38" s="37"/>
    </row>
    <row r="39" spans="1:15">
      <c r="B39" s="57"/>
      <c r="C39" s="1"/>
      <c r="D39" s="1"/>
      <c r="E39" s="1"/>
      <c r="F39" s="1"/>
      <c r="G39" s="1"/>
      <c r="H39" s="1"/>
      <c r="I39" s="1"/>
      <c r="J39" s="1"/>
      <c r="K39" s="1"/>
      <c r="L39" s="38"/>
      <c r="M39" s="61"/>
      <c r="N39" s="61"/>
      <c r="O39" s="37"/>
    </row>
    <row r="40" spans="1:15">
      <c r="B40" s="56">
        <v>90000</v>
      </c>
      <c r="C40" s="1"/>
      <c r="D40" s="59" t="s">
        <v>229</v>
      </c>
      <c r="E40" s="1"/>
      <c r="F40" s="1"/>
      <c r="G40" s="1"/>
      <c r="H40" s="1"/>
      <c r="I40" s="1"/>
      <c r="J40" s="1"/>
      <c r="K40" s="1"/>
      <c r="L40" s="38"/>
      <c r="M40" s="61"/>
      <c r="N40" s="61"/>
      <c r="O40" s="37"/>
    </row>
    <row r="41" spans="1:15">
      <c r="A41" s="26">
        <v>91001</v>
      </c>
      <c r="B41" s="57">
        <v>91001</v>
      </c>
      <c r="C41" s="1"/>
      <c r="D41" s="368" t="str">
        <f>VLOOKUP(A41,'NERACA SALDO'!$A$10:$I$56,2,FALSE)</f>
        <v>Beban Administrasi Bank</v>
      </c>
      <c r="E41" s="368"/>
      <c r="F41" s="368"/>
      <c r="G41" s="368"/>
      <c r="H41" s="368"/>
      <c r="I41" s="368"/>
      <c r="J41" s="368"/>
      <c r="K41" s="368"/>
      <c r="L41" s="38">
        <f ca="1">VLOOKUP(B41,'NERACA SALDO'!$A$10:$I$56,8,FALSE)</f>
        <v>150000</v>
      </c>
      <c r="M41" s="61"/>
      <c r="N41" s="61"/>
      <c r="O41" s="37"/>
    </row>
    <row r="42" spans="1:15">
      <c r="A42" s="26">
        <v>91002</v>
      </c>
      <c r="B42" s="57">
        <v>91002</v>
      </c>
      <c r="C42" s="1"/>
      <c r="D42" s="368" t="str">
        <f>VLOOKUP(A42,'NERACA SALDO'!$A$10:$I$56,2,FALSE)</f>
        <v>Beban Bunga</v>
      </c>
      <c r="E42" s="368"/>
      <c r="F42" s="368"/>
      <c r="G42" s="368"/>
      <c r="H42" s="368"/>
      <c r="I42" s="368"/>
      <c r="J42" s="368"/>
      <c r="K42" s="368"/>
      <c r="L42" s="38">
        <f ca="1">VLOOKUP(B42,'NERACA SALDO'!$A$10:$I$56,8,FALSE)</f>
        <v>1500000</v>
      </c>
      <c r="M42" s="61"/>
      <c r="N42" s="61"/>
      <c r="O42" s="37"/>
    </row>
    <row r="43" spans="1:15">
      <c r="B43" s="27"/>
      <c r="C43" s="1"/>
      <c r="D43" s="1"/>
      <c r="E43" s="34" t="s">
        <v>230</v>
      </c>
      <c r="F43" s="34"/>
      <c r="G43" s="1"/>
      <c r="H43" s="1"/>
      <c r="I43" s="1"/>
      <c r="J43" s="1"/>
      <c r="K43" s="1"/>
      <c r="L43" s="38"/>
      <c r="M43" s="60">
        <f ca="1">SUM(L41:L42)</f>
        <v>1650000</v>
      </c>
      <c r="N43" s="61"/>
      <c r="O43" s="37"/>
    </row>
    <row r="44" spans="1:15">
      <c r="B44" s="27"/>
      <c r="C44" s="1"/>
      <c r="D44" s="1"/>
      <c r="E44" s="34"/>
      <c r="F44" s="34" t="s">
        <v>231</v>
      </c>
      <c r="G44" s="1"/>
      <c r="H44" s="1"/>
      <c r="I44" s="1"/>
      <c r="J44" s="1"/>
      <c r="K44" s="1"/>
      <c r="L44" s="38"/>
      <c r="M44" s="61"/>
      <c r="N44" s="60">
        <f ca="1">M38-M43</f>
        <v>700000</v>
      </c>
      <c r="O44" s="37"/>
    </row>
    <row r="45" spans="1:15">
      <c r="B45" s="27"/>
      <c r="C45" s="1"/>
      <c r="D45" s="1"/>
      <c r="E45" s="1"/>
      <c r="F45" s="1"/>
      <c r="G45" s="1"/>
      <c r="H45" s="1"/>
      <c r="I45" s="1"/>
      <c r="J45" s="1"/>
      <c r="K45" s="1"/>
      <c r="L45" s="39"/>
      <c r="M45" s="41"/>
      <c r="N45" s="41"/>
      <c r="O45" s="37"/>
    </row>
    <row r="46" spans="1:15">
      <c r="B46" s="36"/>
      <c r="C46" s="32"/>
      <c r="D46" s="32"/>
      <c r="E46" s="32"/>
      <c r="F46" s="32"/>
      <c r="G46" s="31" t="s">
        <v>232</v>
      </c>
      <c r="H46" s="32"/>
      <c r="I46" s="32"/>
      <c r="J46" s="32"/>
      <c r="K46" s="32"/>
      <c r="L46" s="45"/>
      <c r="M46" s="46"/>
      <c r="N46" s="46">
        <f ca="1">N32+N44</f>
        <v>-841750</v>
      </c>
      <c r="O46" s="55"/>
    </row>
  </sheetData>
  <mergeCells count="23">
    <mergeCell ref="D37:K37"/>
    <mergeCell ref="D41:K41"/>
    <mergeCell ref="D42:K42"/>
    <mergeCell ref="D27:K27"/>
    <mergeCell ref="D28:K28"/>
    <mergeCell ref="D29:K29"/>
    <mergeCell ref="D30:K30"/>
    <mergeCell ref="D36:K36"/>
    <mergeCell ref="D22:K22"/>
    <mergeCell ref="D23:K23"/>
    <mergeCell ref="D24:K24"/>
    <mergeCell ref="D25:K25"/>
    <mergeCell ref="D26:K26"/>
    <mergeCell ref="E9:J9"/>
    <mergeCell ref="D14:K14"/>
    <mergeCell ref="D19:K19"/>
    <mergeCell ref="D20:K20"/>
    <mergeCell ref="D21:K21"/>
    <mergeCell ref="B2:O2"/>
    <mergeCell ref="B3:O3"/>
    <mergeCell ref="B4:O4"/>
    <mergeCell ref="D7:L7"/>
    <mergeCell ref="E8:J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B1" workbookViewId="0">
      <selection activeCell="J14" sqref="J14"/>
    </sheetView>
  </sheetViews>
  <sheetFormatPr defaultColWidth="9" defaultRowHeight="15"/>
  <cols>
    <col min="1" max="1" width="3.5703125" style="26" hidden="1" customWidth="1"/>
    <col min="2" max="2" width="6.85546875" style="26" customWidth="1"/>
    <col min="3" max="3" width="11.140625" style="26" customWidth="1"/>
    <col min="4" max="4" width="4.85546875" style="26" customWidth="1"/>
    <col min="5" max="8" width="9" style="26"/>
    <col min="9" max="9" width="17.28515625" style="26" customWidth="1"/>
    <col min="10" max="10" width="16.85546875" style="26" customWidth="1"/>
    <col min="11" max="16384" width="9" style="26"/>
  </cols>
  <sheetData>
    <row r="1" spans="1:11" ht="13.5" customHeight="1"/>
    <row r="2" spans="1:11" ht="15.75">
      <c r="B2" s="362" t="s">
        <v>215</v>
      </c>
      <c r="C2" s="363"/>
      <c r="D2" s="363"/>
      <c r="E2" s="363"/>
      <c r="F2" s="363"/>
      <c r="G2" s="363"/>
      <c r="H2" s="363"/>
      <c r="I2" s="363"/>
      <c r="J2" s="363"/>
      <c r="K2" s="364"/>
    </row>
    <row r="3" spans="1:11" ht="15.75">
      <c r="B3" s="365" t="s">
        <v>233</v>
      </c>
      <c r="C3" s="366"/>
      <c r="D3" s="366"/>
      <c r="E3" s="366"/>
      <c r="F3" s="366"/>
      <c r="G3" s="366"/>
      <c r="H3" s="366"/>
      <c r="I3" s="366"/>
      <c r="J3" s="366"/>
      <c r="K3" s="367"/>
    </row>
    <row r="4" spans="1:11" ht="15.75">
      <c r="B4" s="359" t="s">
        <v>234</v>
      </c>
      <c r="C4" s="360"/>
      <c r="D4" s="360"/>
      <c r="E4" s="360"/>
      <c r="F4" s="360"/>
      <c r="G4" s="360"/>
      <c r="H4" s="360"/>
      <c r="I4" s="360"/>
      <c r="J4" s="360"/>
      <c r="K4" s="361"/>
    </row>
    <row r="5" spans="1:11">
      <c r="B5" s="49"/>
      <c r="C5" s="50"/>
      <c r="D5" s="50"/>
      <c r="E5" s="50"/>
      <c r="F5" s="50"/>
      <c r="G5" s="50"/>
      <c r="H5" s="50"/>
      <c r="I5" s="50"/>
      <c r="J5" s="50"/>
      <c r="K5" s="52"/>
    </row>
    <row r="6" spans="1:11">
      <c r="B6" s="27"/>
      <c r="C6" s="34" t="s">
        <v>235</v>
      </c>
      <c r="D6" s="1"/>
      <c r="E6" s="1"/>
      <c r="F6" s="1"/>
      <c r="G6" s="1"/>
      <c r="H6" s="1"/>
      <c r="I6" s="1"/>
      <c r="J6" s="1"/>
      <c r="K6" s="37"/>
    </row>
    <row r="7" spans="1:11">
      <c r="A7" s="26">
        <v>32000</v>
      </c>
      <c r="B7" s="27"/>
      <c r="C7" s="51">
        <v>32000</v>
      </c>
      <c r="D7" s="368" t="str">
        <f>VLOOKUP(A7,'NERACA SALDO'!$A$10:$I$56,2,FALSE)</f>
        <v>Laba Ditahan Periode Lalu</v>
      </c>
      <c r="E7" s="368"/>
      <c r="F7" s="368"/>
      <c r="G7" s="368"/>
      <c r="H7" s="1"/>
      <c r="I7" s="38"/>
      <c r="J7" s="38">
        <f ca="1">VLOOKUP(C7,'NERACA SALDO'!$A$10:$I$56,9,FALSE)</f>
        <v>24630000</v>
      </c>
      <c r="K7" s="37"/>
    </row>
    <row r="8" spans="1:11">
      <c r="B8" s="27"/>
      <c r="C8" s="1"/>
      <c r="D8" s="1"/>
      <c r="E8" s="1"/>
      <c r="F8" s="1"/>
      <c r="G8" s="1"/>
      <c r="H8" s="1"/>
      <c r="I8" s="38"/>
      <c r="J8" s="39"/>
      <c r="K8" s="37"/>
    </row>
    <row r="9" spans="1:11">
      <c r="B9" s="27"/>
      <c r="C9" s="1" t="s">
        <v>236</v>
      </c>
      <c r="D9" s="1"/>
      <c r="E9" s="1"/>
      <c r="F9" s="1"/>
      <c r="G9" s="1"/>
      <c r="H9" s="1"/>
      <c r="I9" s="38"/>
      <c r="J9" s="39"/>
      <c r="K9" s="37"/>
    </row>
    <row r="10" spans="1:11">
      <c r="B10" s="27"/>
      <c r="C10" s="1"/>
      <c r="D10" s="368" t="s">
        <v>237</v>
      </c>
      <c r="E10" s="368"/>
      <c r="F10" s="368"/>
      <c r="G10" s="368"/>
      <c r="H10" s="1"/>
      <c r="I10" s="53">
        <f ca="1">'LAP. LABA RUGI '!N46</f>
        <v>-841750</v>
      </c>
      <c r="J10" s="39"/>
      <c r="K10" s="37"/>
    </row>
    <row r="11" spans="1:11">
      <c r="B11" s="27"/>
      <c r="C11" s="1"/>
      <c r="D11" s="368" t="s">
        <v>238</v>
      </c>
      <c r="E11" s="368"/>
      <c r="F11" s="368"/>
      <c r="G11" s="368"/>
      <c r="H11" s="1"/>
      <c r="I11" s="54">
        <v>0</v>
      </c>
      <c r="J11" s="39"/>
      <c r="K11" s="37"/>
    </row>
    <row r="12" spans="1:11">
      <c r="B12" s="27"/>
      <c r="C12" s="369" t="s">
        <v>239</v>
      </c>
      <c r="D12" s="369"/>
      <c r="E12" s="369"/>
      <c r="F12" s="369"/>
      <c r="G12" s="369"/>
      <c r="H12" s="1"/>
      <c r="I12" s="39"/>
      <c r="J12" s="39">
        <f ca="1">SUM(I10:I11)</f>
        <v>-841750</v>
      </c>
      <c r="K12" s="37"/>
    </row>
    <row r="13" spans="1:11">
      <c r="B13" s="27"/>
      <c r="H13" s="1"/>
      <c r="I13" s="39"/>
      <c r="J13" s="39"/>
      <c r="K13" s="37"/>
    </row>
    <row r="14" spans="1:11">
      <c r="B14" s="36"/>
      <c r="C14" s="370" t="s">
        <v>240</v>
      </c>
      <c r="D14" s="370"/>
      <c r="E14" s="370"/>
      <c r="F14" s="370"/>
      <c r="G14" s="32"/>
      <c r="H14" s="32"/>
      <c r="I14" s="45"/>
      <c r="J14" s="47">
        <f ca="1">J7+J12</f>
        <v>23788250</v>
      </c>
      <c r="K14" s="55"/>
    </row>
  </sheetData>
  <mergeCells count="8">
    <mergeCell ref="D11:G11"/>
    <mergeCell ref="C12:G12"/>
    <mergeCell ref="C14:F14"/>
    <mergeCell ref="B2:K2"/>
    <mergeCell ref="B3:K3"/>
    <mergeCell ref="B4:K4"/>
    <mergeCell ref="D7:G7"/>
    <mergeCell ref="D10:G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MATER AKUN</vt:lpstr>
      <vt:lpstr>JURNAL UMUM</vt:lpstr>
      <vt:lpstr>BB PIUTANG</vt:lpstr>
      <vt:lpstr>BB HUTANG</vt:lpstr>
      <vt:lpstr>BB PERSEDIAAN</vt:lpstr>
      <vt:lpstr>BUKU BESAR</vt:lpstr>
      <vt:lpstr>NERACA SALDO</vt:lpstr>
      <vt:lpstr>LAP. LABA RUGI </vt:lpstr>
      <vt:lpstr>LAP. PERUBAHAN LABA</vt:lpstr>
      <vt:lpstr>NERACA</vt:lpstr>
      <vt:lpstr>NERACA SALDO PENUTUP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ok</cp:lastModifiedBy>
  <dcterms:created xsi:type="dcterms:W3CDTF">2021-01-11T03:19:00Z</dcterms:created>
  <dcterms:modified xsi:type="dcterms:W3CDTF">2021-02-03T02:08:25Z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1057-11.2.0.9937</vt:lpwstr>
  </property>
</Properties>
</file>