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530"/>
  <workbookPr defaultThemeVersion="166925"/>
  <mc:AlternateContent xmlns:mc="http://schemas.openxmlformats.org/markup-compatibility/2006">
    <mc:Choice Requires="x15">
      <x15ac:absPath xmlns:x15ac="http://schemas.microsoft.com/office/spreadsheetml/2010/11/ac" url="D:\Kuliah\Semester 5\PLAK\"/>
    </mc:Choice>
  </mc:AlternateContent>
  <xr:revisionPtr revIDLastSave="0" documentId="13_ncr:1_{528F814C-0A62-4970-8C76-BB2DEC1642BD}" xr6:coauthVersionLast="46" xr6:coauthVersionMax="46" xr10:uidLastSave="{00000000-0000-0000-0000-000000000000}"/>
  <bookViews>
    <workbookView xWindow="-120" yWindow="-120" windowWidth="20730" windowHeight="11160" firstSheet="2" activeTab="8" xr2:uid="{071BED77-8307-4D65-9A13-ACE5AF5B39DD}"/>
  </bookViews>
  <sheets>
    <sheet name="Master Akun" sheetId="1" r:id="rId1"/>
    <sheet name="Jurnal Umum" sheetId="2" r:id="rId2"/>
    <sheet name="Buku Besar" sheetId="4" r:id="rId3"/>
    <sheet name="BB Piutang" sheetId="5" r:id="rId4"/>
    <sheet name="BB Hutang" sheetId="6" r:id="rId5"/>
    <sheet name="Neraca Saldo" sheetId="7" r:id="rId6"/>
    <sheet name="LabaRugi" sheetId="8" r:id="rId7"/>
    <sheet name="L.laba ditahan" sheetId="9" r:id="rId8"/>
    <sheet name="Neraca" sheetId="12" r:id="rId9"/>
    <sheet name="BB" sheetId="3" state="hidden" r:id="rId10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18" i="2" l="1"/>
  <c r="F118" i="2"/>
  <c r="B23" i="12"/>
  <c r="B22" i="12"/>
  <c r="B21" i="12"/>
  <c r="E23" i="12"/>
  <c r="E24" i="12"/>
  <c r="E25" i="12"/>
  <c r="E22" i="12"/>
  <c r="F10" i="12"/>
  <c r="E17" i="12"/>
  <c r="E8" i="12"/>
  <c r="E9" i="12"/>
  <c r="E10" i="12"/>
  <c r="E11" i="12"/>
  <c r="E12" i="12"/>
  <c r="E13" i="12"/>
  <c r="E7" i="12"/>
  <c r="B7" i="12"/>
  <c r="C15" i="12"/>
  <c r="B20" i="12"/>
  <c r="B8" i="12"/>
  <c r="B9" i="12"/>
  <c r="B10" i="12"/>
  <c r="B11" i="12"/>
  <c r="B12" i="12"/>
  <c r="B13" i="12"/>
  <c r="B14" i="12"/>
  <c r="B15" i="12"/>
  <c r="B16" i="12"/>
  <c r="B17" i="12"/>
  <c r="C23" i="8"/>
  <c r="B29" i="8"/>
  <c r="B28" i="8"/>
  <c r="B26" i="8"/>
  <c r="B25" i="8"/>
  <c r="B13" i="8"/>
  <c r="B14" i="8"/>
  <c r="B15" i="8"/>
  <c r="B16" i="8"/>
  <c r="B17" i="8"/>
  <c r="B18" i="8"/>
  <c r="B19" i="8"/>
  <c r="B20" i="8"/>
  <c r="B21" i="8"/>
  <c r="B22" i="8"/>
  <c r="B23" i="8"/>
  <c r="B12" i="8"/>
  <c r="B10" i="8"/>
  <c r="B6" i="8"/>
  <c r="B7" i="8"/>
  <c r="B5" i="8"/>
  <c r="D106" i="2"/>
  <c r="D39" i="2"/>
  <c r="D38" i="2"/>
  <c r="D40" i="2"/>
  <c r="D8" i="2"/>
  <c r="D7" i="2"/>
  <c r="D9" i="2"/>
  <c r="B7" i="7"/>
  <c r="B8" i="7"/>
  <c r="B9" i="7"/>
  <c r="B10" i="7"/>
  <c r="B11" i="7"/>
  <c r="B12" i="7"/>
  <c r="B13" i="7"/>
  <c r="B14" i="7"/>
  <c r="B15" i="7"/>
  <c r="B16" i="7"/>
  <c r="B17" i="7"/>
  <c r="B18" i="7"/>
  <c r="B19" i="7"/>
  <c r="B20" i="7"/>
  <c r="B21" i="7"/>
  <c r="B22" i="7"/>
  <c r="B23" i="7"/>
  <c r="B24" i="7"/>
  <c r="B25" i="7"/>
  <c r="B26" i="7"/>
  <c r="B27" i="7"/>
  <c r="B28" i="7"/>
  <c r="B29" i="7"/>
  <c r="B30" i="7"/>
  <c r="B31" i="7"/>
  <c r="B32" i="7"/>
  <c r="B33" i="7"/>
  <c r="B34" i="7"/>
  <c r="B35" i="7"/>
  <c r="B36" i="7"/>
  <c r="B37" i="7"/>
  <c r="B38" i="7"/>
  <c r="B39" i="7"/>
  <c r="B40" i="7"/>
  <c r="B41" i="7"/>
  <c r="B42" i="7"/>
  <c r="B43" i="7"/>
  <c r="B44" i="7"/>
  <c r="B45" i="7"/>
  <c r="B46" i="7"/>
  <c r="B47" i="7"/>
  <c r="B48" i="7"/>
  <c r="B49" i="7"/>
  <c r="B50" i="7"/>
  <c r="B51" i="7"/>
  <c r="B52" i="7"/>
  <c r="B53" i="7"/>
  <c r="B6" i="7"/>
  <c r="E26" i="6"/>
  <c r="H26" i="6" s="1"/>
  <c r="H25" i="6"/>
  <c r="C22" i="6"/>
  <c r="H18" i="6"/>
  <c r="C15" i="6"/>
  <c r="E9" i="6"/>
  <c r="H8" i="6"/>
  <c r="C5" i="6"/>
  <c r="G35" i="5"/>
  <c r="C32" i="5"/>
  <c r="F28" i="5"/>
  <c r="G28" i="5" s="1"/>
  <c r="G27" i="5"/>
  <c r="C24" i="5"/>
  <c r="G17" i="5"/>
  <c r="C14" i="5"/>
  <c r="G8" i="5"/>
  <c r="C5" i="5"/>
  <c r="H9" i="6" l="1"/>
  <c r="Q143" i="4" l="1"/>
  <c r="M140" i="4"/>
  <c r="Q134" i="4"/>
  <c r="M131" i="4"/>
  <c r="R125" i="4"/>
  <c r="M122" i="4"/>
  <c r="R116" i="4"/>
  <c r="M113" i="4"/>
  <c r="Q107" i="4"/>
  <c r="M104" i="4"/>
  <c r="Q98" i="4"/>
  <c r="M95" i="4"/>
  <c r="Q89" i="4"/>
  <c r="M86" i="4"/>
  <c r="Q80" i="4"/>
  <c r="M77" i="4"/>
  <c r="Q71" i="4"/>
  <c r="M68" i="4"/>
  <c r="Q62" i="4"/>
  <c r="M59" i="4"/>
  <c r="Q53" i="4"/>
  <c r="M50" i="4"/>
  <c r="Q44" i="4"/>
  <c r="M41" i="4"/>
  <c r="Q35" i="4"/>
  <c r="M32" i="4"/>
  <c r="Q26" i="4"/>
  <c r="M23" i="4"/>
  <c r="Q17" i="4"/>
  <c r="M14" i="4"/>
  <c r="Q8" i="4"/>
  <c r="M5" i="4"/>
  <c r="G269" i="4"/>
  <c r="C266" i="4"/>
  <c r="G260" i="4"/>
  <c r="C257" i="4"/>
  <c r="G251" i="4"/>
  <c r="C248" i="4"/>
  <c r="H242" i="4"/>
  <c r="C239" i="4"/>
  <c r="H233" i="4"/>
  <c r="C230" i="4"/>
  <c r="H224" i="4"/>
  <c r="C221" i="4"/>
  <c r="H215" i="4"/>
  <c r="C212" i="4"/>
  <c r="H206" i="4"/>
  <c r="C203" i="4"/>
  <c r="H197" i="4"/>
  <c r="C194" i="4"/>
  <c r="H188" i="4"/>
  <c r="C185" i="4"/>
  <c r="H179" i="4"/>
  <c r="C176" i="4"/>
  <c r="H170" i="4"/>
  <c r="C167" i="4"/>
  <c r="H161" i="4"/>
  <c r="C158" i="4"/>
  <c r="H152" i="4"/>
  <c r="C149" i="4"/>
  <c r="H143" i="4"/>
  <c r="C140" i="4"/>
  <c r="H134" i="4"/>
  <c r="C131" i="4"/>
  <c r="H125" i="4"/>
  <c r="H107" i="4"/>
  <c r="C122" i="4"/>
  <c r="G116" i="4"/>
  <c r="C113" i="4"/>
  <c r="C104" i="4"/>
  <c r="G98" i="4"/>
  <c r="C95" i="4"/>
  <c r="G89" i="4"/>
  <c r="C86" i="4"/>
  <c r="G80" i="4"/>
  <c r="C77" i="4"/>
  <c r="G71" i="4"/>
  <c r="C68" i="4"/>
  <c r="G62" i="4"/>
  <c r="C59" i="4"/>
  <c r="G53" i="4"/>
  <c r="C50" i="4"/>
  <c r="G44" i="4"/>
  <c r="C41" i="4"/>
  <c r="G35" i="4"/>
  <c r="C32" i="4"/>
  <c r="G26" i="4"/>
  <c r="C23" i="4"/>
  <c r="G17" i="4"/>
  <c r="C14" i="4"/>
  <c r="G8" i="4"/>
  <c r="C5" i="4"/>
  <c r="H167" i="3"/>
  <c r="C164" i="3"/>
  <c r="G159" i="3"/>
  <c r="C156" i="3"/>
  <c r="G151" i="3"/>
  <c r="C148" i="3"/>
  <c r="G142" i="3"/>
  <c r="C139" i="3"/>
  <c r="G135" i="3"/>
  <c r="C132" i="3"/>
  <c r="G128" i="3"/>
  <c r="C125" i="3"/>
  <c r="G121" i="3"/>
  <c r="C118" i="3"/>
  <c r="G112" i="3"/>
  <c r="C109" i="3"/>
  <c r="G104" i="3"/>
  <c r="C101" i="3"/>
  <c r="G88" i="3"/>
  <c r="C85" i="3"/>
  <c r="G79" i="3"/>
  <c r="C76" i="3"/>
  <c r="G72" i="3"/>
  <c r="C69" i="3"/>
  <c r="G59" i="3"/>
  <c r="C56" i="3"/>
  <c r="G43" i="3"/>
  <c r="C40" i="3"/>
  <c r="G27" i="3"/>
  <c r="C24" i="3"/>
  <c r="G19" i="3"/>
  <c r="C16" i="3"/>
  <c r="G7" i="3" l="1"/>
  <c r="C4" i="3"/>
  <c r="G8" i="3" l="1"/>
  <c r="N101" i="2" l="1"/>
  <c r="G101" i="2" s="1"/>
  <c r="N100" i="2"/>
  <c r="G100" i="2" s="1"/>
  <c r="F99" i="2" s="1"/>
  <c r="G98" i="2"/>
  <c r="F95" i="2" s="1"/>
  <c r="D95" i="2"/>
  <c r="G90" i="2"/>
  <c r="N79" i="2" l="1"/>
  <c r="G79" i="2" s="1"/>
  <c r="N80" i="2"/>
  <c r="G80" i="2" s="1"/>
  <c r="N78" i="2"/>
  <c r="G78" i="2" s="1"/>
  <c r="G75" i="2"/>
  <c r="G76" i="2" s="1"/>
  <c r="F74" i="2"/>
  <c r="K71" i="2"/>
  <c r="G72" i="2" s="1"/>
  <c r="G70" i="2"/>
  <c r="F69" i="2"/>
  <c r="G66" i="2"/>
  <c r="G67" i="2"/>
  <c r="N66" i="2"/>
  <c r="N67" i="2"/>
  <c r="N65" i="2"/>
  <c r="G65" i="2" s="1"/>
  <c r="F64" i="2" s="1"/>
  <c r="G63" i="2"/>
  <c r="F61" i="2" s="1"/>
  <c r="E10" i="5" s="1"/>
  <c r="G58" i="2"/>
  <c r="N58" i="2"/>
  <c r="N59" i="2"/>
  <c r="G59" i="2" s="1"/>
  <c r="N57" i="2"/>
  <c r="G57" i="2" s="1"/>
  <c r="F56" i="2" s="1"/>
  <c r="G55" i="2"/>
  <c r="F53" i="2" s="1"/>
  <c r="E19" i="5" s="1"/>
  <c r="G50" i="2"/>
  <c r="D47" i="2"/>
  <c r="D48" i="2"/>
  <c r="D49" i="2"/>
  <c r="D50" i="2"/>
  <c r="D51" i="2"/>
  <c r="D52" i="2"/>
  <c r="D53" i="2"/>
  <c r="D54" i="2"/>
  <c r="D55" i="2"/>
  <c r="D56" i="2"/>
  <c r="D57" i="2"/>
  <c r="D58" i="2"/>
  <c r="D59" i="2"/>
  <c r="D60" i="2"/>
  <c r="D61" i="2"/>
  <c r="D62" i="2"/>
  <c r="D63" i="2"/>
  <c r="D64" i="2"/>
  <c r="D65" i="2"/>
  <c r="D66" i="2"/>
  <c r="D67" i="2"/>
  <c r="D68" i="2"/>
  <c r="D69" i="2"/>
  <c r="D70" i="2"/>
  <c r="D71" i="2"/>
  <c r="D72" i="2"/>
  <c r="D73" i="2"/>
  <c r="D74" i="2"/>
  <c r="D75" i="2"/>
  <c r="D76" i="2"/>
  <c r="D77" i="2"/>
  <c r="D78" i="2"/>
  <c r="D79" i="2"/>
  <c r="D80" i="2"/>
  <c r="D81" i="2"/>
  <c r="D82" i="2"/>
  <c r="D83" i="2"/>
  <c r="D84" i="2"/>
  <c r="D85" i="2"/>
  <c r="D86" i="2"/>
  <c r="D87" i="2"/>
  <c r="D88" i="2"/>
  <c r="D89" i="2"/>
  <c r="D90" i="2"/>
  <c r="D91" i="2"/>
  <c r="D92" i="2"/>
  <c r="D93" i="2"/>
  <c r="D94" i="2"/>
  <c r="D96" i="2"/>
  <c r="D97" i="2"/>
  <c r="D98" i="2"/>
  <c r="D99" i="2"/>
  <c r="D100" i="2"/>
  <c r="D101" i="2"/>
  <c r="D102" i="2"/>
  <c r="D103" i="2"/>
  <c r="D104" i="2"/>
  <c r="D105" i="2"/>
  <c r="D107" i="2"/>
  <c r="D108" i="2"/>
  <c r="D109" i="2"/>
  <c r="D110" i="2"/>
  <c r="D111" i="2"/>
  <c r="D112" i="2"/>
  <c r="D113" i="2"/>
  <c r="D114" i="2"/>
  <c r="D115" i="2"/>
  <c r="D116" i="2"/>
  <c r="D117" i="2"/>
  <c r="K44" i="2"/>
  <c r="F42" i="2"/>
  <c r="G43" i="2" s="1"/>
  <c r="F71" i="2" l="1"/>
  <c r="F49" i="3"/>
  <c r="F20" i="5"/>
  <c r="F97" i="3"/>
  <c r="F144" i="3"/>
  <c r="E143" i="3"/>
  <c r="G143" i="3" s="1"/>
  <c r="E95" i="3"/>
  <c r="F96" i="3"/>
  <c r="F93" i="3"/>
  <c r="F94" i="3"/>
  <c r="E50" i="3"/>
  <c r="E65" i="3"/>
  <c r="F36" i="3"/>
  <c r="E10" i="3"/>
  <c r="F52" i="3"/>
  <c r="F34" i="3"/>
  <c r="F32" i="3"/>
  <c r="F35" i="3"/>
  <c r="F81" i="3"/>
  <c r="E11" i="3"/>
  <c r="E80" i="3"/>
  <c r="G80" i="3" s="1"/>
  <c r="F33" i="3"/>
  <c r="E51" i="3"/>
  <c r="E64" i="3"/>
  <c r="F77" i="2"/>
  <c r="F35" i="2"/>
  <c r="F34" i="2" s="1"/>
  <c r="F9" i="5" s="1"/>
  <c r="G9" i="5" s="1"/>
  <c r="G10" i="5" s="1"/>
  <c r="F31" i="2"/>
  <c r="F18" i="5" s="1"/>
  <c r="G18" i="5" s="1"/>
  <c r="G19" i="5" s="1"/>
  <c r="G20" i="5" s="1"/>
  <c r="F32" i="2"/>
  <c r="G27" i="2"/>
  <c r="N27" i="2"/>
  <c r="F19" i="2"/>
  <c r="F18" i="2" s="1"/>
  <c r="F36" i="5" s="1"/>
  <c r="G36" i="5" s="1"/>
  <c r="N17" i="2"/>
  <c r="G17" i="2" s="1"/>
  <c r="N16" i="2"/>
  <c r="G16" i="2" s="1"/>
  <c r="F15" i="2" s="1"/>
  <c r="G13" i="2"/>
  <c r="F12" i="2"/>
  <c r="G28" i="2" l="1"/>
  <c r="F26" i="2" s="1"/>
  <c r="E11" i="6" s="1"/>
  <c r="G14" i="2"/>
  <c r="F11" i="2" s="1"/>
  <c r="G144" i="3"/>
  <c r="G81" i="3"/>
  <c r="K22" i="2"/>
  <c r="F22" i="2" s="1"/>
  <c r="K21" i="2"/>
  <c r="F21" i="2" s="1"/>
  <c r="D22" i="2"/>
  <c r="D23" i="2"/>
  <c r="D24" i="2"/>
  <c r="D25" i="2"/>
  <c r="D10" i="2"/>
  <c r="D11" i="2"/>
  <c r="D12" i="2"/>
  <c r="D13" i="2"/>
  <c r="D14" i="2"/>
  <c r="D15" i="2"/>
  <c r="D16" i="2"/>
  <c r="D17" i="2"/>
  <c r="D18" i="2"/>
  <c r="D19" i="2"/>
  <c r="D20" i="2"/>
  <c r="D26" i="2"/>
  <c r="D27" i="2"/>
  <c r="D28" i="2"/>
  <c r="D29" i="2"/>
  <c r="D30" i="2"/>
  <c r="D31" i="2"/>
  <c r="D32" i="2"/>
  <c r="D33" i="2"/>
  <c r="D34" i="2"/>
  <c r="D35" i="2"/>
  <c r="D36" i="2"/>
  <c r="D37" i="2"/>
  <c r="F47" i="3" s="1"/>
  <c r="D41" i="2"/>
  <c r="D42" i="2"/>
  <c r="D43" i="2"/>
  <c r="D44" i="2"/>
  <c r="D45" i="2"/>
  <c r="D46" i="2"/>
  <c r="D21" i="2"/>
  <c r="E48" i="3" l="1"/>
  <c r="F63" i="3"/>
  <c r="F89" i="3"/>
  <c r="G89" i="3" s="1"/>
  <c r="E92" i="3"/>
  <c r="F91" i="3"/>
  <c r="F114" i="3"/>
  <c r="E170" i="3"/>
  <c r="F28" i="3"/>
  <c r="G28" i="3" s="1"/>
  <c r="E168" i="3"/>
  <c r="F19" i="4"/>
  <c r="E18" i="4"/>
  <c r="G18" i="4" s="1"/>
  <c r="E90" i="3"/>
  <c r="E113" i="3"/>
  <c r="G113" i="3" s="1"/>
  <c r="F45" i="3"/>
  <c r="E30" i="3"/>
  <c r="E8" i="3"/>
  <c r="F9" i="3"/>
  <c r="F61" i="3"/>
  <c r="E31" i="3"/>
  <c r="F60" i="3"/>
  <c r="G60" i="3" s="1"/>
  <c r="E44" i="3"/>
  <c r="G44" i="3" s="1"/>
  <c r="F62" i="3"/>
  <c r="E46" i="3"/>
  <c r="F23" i="2"/>
  <c r="G24" i="2" s="1"/>
  <c r="K25" i="1"/>
  <c r="K23" i="1"/>
  <c r="K24" i="1"/>
  <c r="K27" i="1"/>
  <c r="K28" i="1"/>
  <c r="K30" i="1"/>
  <c r="K31" i="1"/>
  <c r="K32" i="1"/>
  <c r="K22" i="1"/>
  <c r="K33" i="1" s="1"/>
  <c r="F10" i="4" l="1"/>
  <c r="F46" i="4"/>
  <c r="E234" i="4"/>
  <c r="H234" i="4" s="1"/>
  <c r="P145" i="4"/>
  <c r="F64" i="4"/>
  <c r="O54" i="4"/>
  <c r="Q54" i="4" s="1"/>
  <c r="E45" i="4"/>
  <c r="G45" i="4" s="1"/>
  <c r="G46" i="4" s="1"/>
  <c r="F226" i="4"/>
  <c r="E225" i="4"/>
  <c r="H225" i="4" s="1"/>
  <c r="P136" i="4"/>
  <c r="F199" i="4"/>
  <c r="O117" i="4"/>
  <c r="R117" i="4" s="1"/>
  <c r="E180" i="4"/>
  <c r="H180" i="4" s="1"/>
  <c r="P91" i="4"/>
  <c r="F154" i="4"/>
  <c r="E198" i="4"/>
  <c r="H198" i="4" s="1"/>
  <c r="F163" i="4"/>
  <c r="E63" i="4"/>
  <c r="G63" i="4" s="1"/>
  <c r="G64" i="4" s="1"/>
  <c r="D12" i="7" s="1"/>
  <c r="C13" i="12" s="1"/>
  <c r="O81" i="4"/>
  <c r="Q81" i="4" s="1"/>
  <c r="F244" i="4"/>
  <c r="E144" i="4"/>
  <c r="H144" i="4" s="1"/>
  <c r="F37" i="4"/>
  <c r="P55" i="4"/>
  <c r="E9" i="4"/>
  <c r="G9" i="4" s="1"/>
  <c r="G10" i="4" s="1"/>
  <c r="D6" i="7" s="1"/>
  <c r="C7" i="12" s="1"/>
  <c r="F190" i="4"/>
  <c r="O108" i="4"/>
  <c r="Q108" i="4" s="1"/>
  <c r="E27" i="4"/>
  <c r="G27" i="4" s="1"/>
  <c r="F208" i="4"/>
  <c r="F73" i="4"/>
  <c r="E189" i="4"/>
  <c r="H189" i="4" s="1"/>
  <c r="E54" i="4"/>
  <c r="G54" i="4" s="1"/>
  <c r="O99" i="4"/>
  <c r="Q99" i="4" s="1"/>
  <c r="E162" i="4"/>
  <c r="H162" i="4" s="1"/>
  <c r="P73" i="4"/>
  <c r="F136" i="4"/>
  <c r="E252" i="4"/>
  <c r="G252" i="4" s="1"/>
  <c r="E117" i="4"/>
  <c r="G117" i="4" s="1"/>
  <c r="P28" i="4"/>
  <c r="O72" i="4"/>
  <c r="Q72" i="4" s="1"/>
  <c r="F235" i="4"/>
  <c r="E135" i="4"/>
  <c r="H135" i="4" s="1"/>
  <c r="F28" i="4"/>
  <c r="P46" i="4"/>
  <c r="E216" i="4"/>
  <c r="H216" i="4" s="1"/>
  <c r="F109" i="4"/>
  <c r="P127" i="4"/>
  <c r="E153" i="4"/>
  <c r="H153" i="4" s="1"/>
  <c r="H154" i="4" s="1"/>
  <c r="E23" i="7" s="1"/>
  <c r="F9" i="12" s="1"/>
  <c r="P64" i="4"/>
  <c r="F127" i="4"/>
  <c r="E171" i="4"/>
  <c r="H171" i="4" s="1"/>
  <c r="P82" i="4"/>
  <c r="Q82" i="4" s="1"/>
  <c r="D46" i="7" s="1"/>
  <c r="C20" i="8" s="1"/>
  <c r="F145" i="4"/>
  <c r="H145" i="4" s="1"/>
  <c r="O63" i="4"/>
  <c r="Q63" i="4" s="1"/>
  <c r="E270" i="4"/>
  <c r="G270" i="4" s="1"/>
  <c r="F118" i="4"/>
  <c r="G118" i="4" s="1"/>
  <c r="D19" i="7" s="1"/>
  <c r="C22" i="12" s="1"/>
  <c r="O36" i="4"/>
  <c r="Q36" i="4" s="1"/>
  <c r="E99" i="4"/>
  <c r="G99" i="4" s="1"/>
  <c r="P10" i="4"/>
  <c r="O126" i="4"/>
  <c r="R126" i="4" s="1"/>
  <c r="E261" i="4"/>
  <c r="G261" i="4" s="1"/>
  <c r="P100" i="4"/>
  <c r="O144" i="4"/>
  <c r="Q144" i="4" s="1"/>
  <c r="P37" i="4"/>
  <c r="E207" i="4"/>
  <c r="H207" i="4" s="1"/>
  <c r="H208" i="4" s="1"/>
  <c r="E29" i="7" s="1"/>
  <c r="F22" i="12" s="1"/>
  <c r="F100" i="4"/>
  <c r="P118" i="4"/>
  <c r="O18" i="4"/>
  <c r="Q18" i="4" s="1"/>
  <c r="F181" i="4"/>
  <c r="H181" i="4" s="1"/>
  <c r="E26" i="7" s="1"/>
  <c r="F12" i="12" s="1"/>
  <c r="F29" i="3"/>
  <c r="G29" i="3" s="1"/>
  <c r="G30" i="3" s="1"/>
  <c r="G31" i="3" s="1"/>
  <c r="G32" i="3" s="1"/>
  <c r="G33" i="3" s="1"/>
  <c r="G34" i="3" s="1"/>
  <c r="G35" i="3" s="1"/>
  <c r="G36" i="3" s="1"/>
  <c r="F169" i="3"/>
  <c r="O27" i="4"/>
  <c r="Q27" i="4" s="1"/>
  <c r="E90" i="4"/>
  <c r="G90" i="4" s="1"/>
  <c r="F271" i="4"/>
  <c r="O45" i="4"/>
  <c r="Q45" i="4" s="1"/>
  <c r="E108" i="4"/>
  <c r="H108" i="4" s="1"/>
  <c r="H109" i="4" s="1"/>
  <c r="E18" i="7" s="1"/>
  <c r="C21" i="12" s="1"/>
  <c r="P19" i="4"/>
  <c r="F82" i="4"/>
  <c r="E81" i="4"/>
  <c r="G81" i="4" s="1"/>
  <c r="F262" i="4"/>
  <c r="F55" i="4"/>
  <c r="H55" i="4" s="1"/>
  <c r="E11" i="7" s="1"/>
  <c r="C12" i="12" s="1"/>
  <c r="E243" i="4"/>
  <c r="H243" i="4" s="1"/>
  <c r="E36" i="4"/>
  <c r="G36" i="4" s="1"/>
  <c r="G37" i="4" s="1"/>
  <c r="D9" i="7" s="1"/>
  <c r="C10" i="12" s="1"/>
  <c r="F217" i="4"/>
  <c r="O135" i="4"/>
  <c r="Q135" i="4" s="1"/>
  <c r="Q136" i="4" s="1"/>
  <c r="D52" i="7" s="1"/>
  <c r="C28" i="8" s="1"/>
  <c r="E126" i="4"/>
  <c r="H126" i="4" s="1"/>
  <c r="H127" i="4" s="1"/>
  <c r="E20" i="7" s="1"/>
  <c r="C23" i="12" s="1"/>
  <c r="F91" i="4"/>
  <c r="P109" i="4"/>
  <c r="O9" i="4"/>
  <c r="Q9" i="4" s="1"/>
  <c r="F172" i="4"/>
  <c r="H172" i="4" s="1"/>
  <c r="E25" i="7" s="1"/>
  <c r="F11" i="12" s="1"/>
  <c r="E72" i="4"/>
  <c r="G72" i="4" s="1"/>
  <c r="G73" i="4" s="1"/>
  <c r="D13" i="7" s="1"/>
  <c r="C14" i="12" s="1"/>
  <c r="O90" i="4"/>
  <c r="Q90" i="4" s="1"/>
  <c r="Q91" i="4" s="1"/>
  <c r="D47" i="7" s="1"/>
  <c r="C21" i="8" s="1"/>
  <c r="F253" i="4"/>
  <c r="G253" i="4" s="1"/>
  <c r="D34" i="7" s="1"/>
  <c r="C6" i="8" s="1"/>
  <c r="F10" i="6"/>
  <c r="H10" i="6" s="1"/>
  <c r="H11" i="6" s="1"/>
  <c r="D10" i="7"/>
  <c r="C11" i="12" s="1"/>
  <c r="G114" i="3"/>
  <c r="Q55" i="4"/>
  <c r="D43" i="7" s="1"/>
  <c r="C17" i="8" s="1"/>
  <c r="G90" i="3"/>
  <c r="G91" i="3" s="1"/>
  <c r="G92" i="3" s="1"/>
  <c r="G93" i="3" s="1"/>
  <c r="G94" i="3" s="1"/>
  <c r="G95" i="3" s="1"/>
  <c r="G96" i="3" s="1"/>
  <c r="G97" i="3" s="1"/>
  <c r="H163" i="4"/>
  <c r="H190" i="4"/>
  <c r="E27" i="7" s="1"/>
  <c r="F13" i="12" s="1"/>
  <c r="G19" i="4"/>
  <c r="D7" i="7" s="1"/>
  <c r="C8" i="12" s="1"/>
  <c r="G45" i="3"/>
  <c r="G46" i="3" s="1"/>
  <c r="G47" i="3" s="1"/>
  <c r="G48" i="3" s="1"/>
  <c r="G49" i="3" s="1"/>
  <c r="G50" i="3" s="1"/>
  <c r="G51" i="3" s="1"/>
  <c r="G52" i="3" s="1"/>
  <c r="G61" i="3"/>
  <c r="G62" i="3" s="1"/>
  <c r="I17" i="1"/>
  <c r="I10" i="1"/>
  <c r="E52" i="1"/>
  <c r="D52" i="1"/>
  <c r="Q19" i="4" l="1"/>
  <c r="D39" i="7" s="1"/>
  <c r="C13" i="8" s="1"/>
  <c r="H235" i="4"/>
  <c r="H199" i="4"/>
  <c r="E28" i="7" s="1"/>
  <c r="F17" i="12" s="1"/>
  <c r="Q46" i="4"/>
  <c r="D42" i="7" s="1"/>
  <c r="C16" i="8" s="1"/>
  <c r="H136" i="4"/>
  <c r="E21" i="7" s="1"/>
  <c r="F7" i="12" s="1"/>
  <c r="Q10" i="4"/>
  <c r="D38" i="7" s="1"/>
  <c r="C12" i="8" s="1"/>
  <c r="R118" i="4"/>
  <c r="E50" i="7" s="1"/>
  <c r="C25" i="8" s="1"/>
  <c r="H226" i="4"/>
  <c r="Q28" i="4"/>
  <c r="D40" i="7" s="1"/>
  <c r="C14" i="8" s="1"/>
  <c r="R127" i="4"/>
  <c r="E51" i="7" s="1"/>
  <c r="C26" i="8" s="1"/>
  <c r="G271" i="4"/>
  <c r="D37" i="7" s="1"/>
  <c r="D10" i="8" s="1"/>
  <c r="Q145" i="4"/>
  <c r="D53" i="7" s="1"/>
  <c r="C29" i="8" s="1"/>
  <c r="H244" i="4"/>
  <c r="E33" i="7" s="1"/>
  <c r="D5" i="8" s="1"/>
  <c r="G91" i="4"/>
  <c r="E16" i="7" s="1"/>
  <c r="C17" i="12" s="1"/>
  <c r="Q37" i="4"/>
  <c r="D41" i="7" s="1"/>
  <c r="C15" i="8" s="1"/>
  <c r="Q64" i="4"/>
  <c r="D44" i="7" s="1"/>
  <c r="C18" i="8" s="1"/>
  <c r="H217" i="4"/>
  <c r="E30" i="7" s="1"/>
  <c r="C6" i="9" s="1"/>
  <c r="Q100" i="4"/>
  <c r="D48" i="7" s="1"/>
  <c r="C22" i="8" s="1"/>
  <c r="G82" i="4"/>
  <c r="D15" i="7" s="1"/>
  <c r="C16" i="12" s="1"/>
  <c r="Q73" i="4"/>
  <c r="D45" i="7" s="1"/>
  <c r="C19" i="8" s="1"/>
  <c r="G28" i="4"/>
  <c r="D8" i="7" s="1"/>
  <c r="C9" i="12" s="1"/>
  <c r="G100" i="4"/>
  <c r="D17" i="7" s="1"/>
  <c r="C20" i="12" s="1"/>
  <c r="C24" i="12" s="1"/>
  <c r="Q109" i="4"/>
  <c r="G262" i="4"/>
  <c r="D35" i="7" s="1"/>
  <c r="C7" i="8" s="1"/>
  <c r="E22" i="7"/>
  <c r="F8" i="12" s="1"/>
  <c r="G63" i="3"/>
  <c r="G64" i="3" s="1"/>
  <c r="G65" i="3" s="1"/>
  <c r="E54" i="7" l="1"/>
  <c r="D54" i="7"/>
  <c r="F18" i="12"/>
  <c r="C18" i="12" l="1"/>
  <c r="C27" i="12" s="1"/>
  <c r="F14" i="12"/>
  <c r="F19" i="12" s="1"/>
  <c r="D24" i="8" l="1"/>
  <c r="D30" i="8"/>
  <c r="D27" i="8"/>
  <c r="D8" i="8"/>
  <c r="D9" i="8" s="1"/>
  <c r="D11" i="8" s="1"/>
  <c r="D31" i="8" l="1"/>
  <c r="D32" i="8" s="1"/>
  <c r="B7" i="9" s="1"/>
  <c r="C9" i="9" s="1"/>
  <c r="C10" i="9" s="1"/>
  <c r="F24" i="12" s="1"/>
  <c r="F26" i="12" s="1"/>
  <c r="F27" i="12" s="1"/>
</calcChain>
</file>

<file path=xl/sharedStrings.xml><?xml version="1.0" encoding="utf-8"?>
<sst xmlns="http://schemas.openxmlformats.org/spreadsheetml/2006/main" count="1317" uniqueCount="242">
  <si>
    <t>No. Akun</t>
  </si>
  <si>
    <t>Perkiraan</t>
  </si>
  <si>
    <t>Ref</t>
  </si>
  <si>
    <t>Debit</t>
  </si>
  <si>
    <t>Kredit</t>
  </si>
  <si>
    <t>Kas Ditangan</t>
  </si>
  <si>
    <t>Kas Kecil</t>
  </si>
  <si>
    <t>Bank BCA</t>
  </si>
  <si>
    <t>Bank Mandiri</t>
  </si>
  <si>
    <t>Piutang Usaha</t>
  </si>
  <si>
    <t>Piutang Karyawan</t>
  </si>
  <si>
    <t>Persediaan Barang Dagang</t>
  </si>
  <si>
    <t>Pembayaran Dimuka</t>
  </si>
  <si>
    <t>PPN Masukan</t>
  </si>
  <si>
    <t>Uang Muka Pembelian</t>
  </si>
  <si>
    <t>Peralatan Kantor</t>
  </si>
  <si>
    <t>Akm Peny Peralatan Kantor</t>
  </si>
  <si>
    <t>Kendaraan</t>
  </si>
  <si>
    <t>Akm Peny Kendaraan</t>
  </si>
  <si>
    <t>Hutang Usaha</t>
  </si>
  <si>
    <t>Pendapatan Diterima Dimuka-Jasa Kirim</t>
  </si>
  <si>
    <t>Hutang Bunga</t>
  </si>
  <si>
    <t>Hutang Pajak</t>
  </si>
  <si>
    <t>Hutang PPh pasal 21</t>
  </si>
  <si>
    <t>Hutang PPh pasal 4</t>
  </si>
  <si>
    <t>PPN Keluaran</t>
  </si>
  <si>
    <t>Hutang Bank Mandiri</t>
  </si>
  <si>
    <t>Modal Saham</t>
  </si>
  <si>
    <t>Laba Ditahan Periode Lalu</t>
  </si>
  <si>
    <t>Laba Ditahan Periode Berjalan</t>
  </si>
  <si>
    <t>Perkiraan Penyeimbang</t>
  </si>
  <si>
    <t xml:space="preserve">Penjualan </t>
  </si>
  <si>
    <t>Retur Penjualan</t>
  </si>
  <si>
    <t>Potongan Penjualan</t>
  </si>
  <si>
    <t>Harga Pokok Penjualan</t>
  </si>
  <si>
    <t>Beban Gaji Keryawan</t>
  </si>
  <si>
    <t>Beban Sewa</t>
  </si>
  <si>
    <t>Beban Listrik</t>
  </si>
  <si>
    <t>Beban Telepon</t>
  </si>
  <si>
    <t>Beban Penyusutan Peralatan Kantor</t>
  </si>
  <si>
    <t>Beban Penyusutan Kendaraan</t>
  </si>
  <si>
    <t>Beban Pemasaran</t>
  </si>
  <si>
    <t>Beban Transportasi</t>
  </si>
  <si>
    <t>Beban Perawatan AC</t>
  </si>
  <si>
    <t>Beban Perlengkapan Kantor</t>
  </si>
  <si>
    <t>Beban Umum Lain-Lain</t>
  </si>
  <si>
    <t>Laba Penjualan Aktiva Tetap</t>
  </si>
  <si>
    <t>Pendapatan Jasa Giro</t>
  </si>
  <si>
    <t>Beban Administrasi Bank</t>
  </si>
  <si>
    <t>Beban Bunga</t>
  </si>
  <si>
    <t>Total</t>
  </si>
  <si>
    <t>DAFTAR PIUTANG</t>
  </si>
  <si>
    <t>Kode</t>
  </si>
  <si>
    <t>Nama Pelanggan</t>
  </si>
  <si>
    <t>Jumlah Piutang</t>
  </si>
  <si>
    <t>Keterangan</t>
  </si>
  <si>
    <t>C01</t>
  </si>
  <si>
    <t>C02</t>
  </si>
  <si>
    <t>C03</t>
  </si>
  <si>
    <t>C04</t>
  </si>
  <si>
    <t>C05</t>
  </si>
  <si>
    <t>Pt. Gunung Agung</t>
  </si>
  <si>
    <t>Toko Buku Utama</t>
  </si>
  <si>
    <t>Cv Mebel Abadi</t>
  </si>
  <si>
    <t>Cv Sembilan Sembilan</t>
  </si>
  <si>
    <t>Penjualan Tunai</t>
  </si>
  <si>
    <t>Termin 2/10, n/30</t>
  </si>
  <si>
    <t>Termin 3/10, n/30</t>
  </si>
  <si>
    <t>Jumlah Hutang</t>
  </si>
  <si>
    <t>DAFTAR HUTANG</t>
  </si>
  <si>
    <t>S01</t>
  </si>
  <si>
    <t>S02</t>
  </si>
  <si>
    <t>S03</t>
  </si>
  <si>
    <t>Cv. Usaha Maju</t>
  </si>
  <si>
    <t>Pt. Karya Bersama</t>
  </si>
  <si>
    <t>Ud. Bersaudara</t>
  </si>
  <si>
    <t>Termin 5/10, n/50</t>
  </si>
  <si>
    <t>DAFTAR PERSEDIAAN</t>
  </si>
  <si>
    <t>Kode Barang</t>
  </si>
  <si>
    <t>Kuantitas</t>
  </si>
  <si>
    <t>Harga Pokok/Unit</t>
  </si>
  <si>
    <t>Total Harga Pokok</t>
  </si>
  <si>
    <t>Nama Produk</t>
  </si>
  <si>
    <t>P01</t>
  </si>
  <si>
    <t>P02</t>
  </si>
  <si>
    <t>P03</t>
  </si>
  <si>
    <t>P04</t>
  </si>
  <si>
    <t>Meja Kerja</t>
  </si>
  <si>
    <t>Kursi</t>
  </si>
  <si>
    <t>P05</t>
  </si>
  <si>
    <t>P06</t>
  </si>
  <si>
    <t>Lemari Arsip</t>
  </si>
  <si>
    <t>P07</t>
  </si>
  <si>
    <t>P08</t>
  </si>
  <si>
    <t>P09</t>
  </si>
  <si>
    <t>NILAI PERSEDIAAN</t>
  </si>
  <si>
    <t>Queen C405</t>
  </si>
  <si>
    <t>Queen C605</t>
  </si>
  <si>
    <t>Stones C109</t>
  </si>
  <si>
    <t>Stones C303</t>
  </si>
  <si>
    <t>Ebiet D708</t>
  </si>
  <si>
    <t>Ebiet d908</t>
  </si>
  <si>
    <t>Tamerland L1</t>
  </si>
  <si>
    <t>Tamerland L2</t>
  </si>
  <si>
    <t>Tamerland L3</t>
  </si>
  <si>
    <t>JURNAL UMUM</t>
  </si>
  <si>
    <t>Tanggal</t>
  </si>
  <si>
    <t>Bukti Transaksi</t>
  </si>
  <si>
    <t>Debet</t>
  </si>
  <si>
    <t>Kode Persediaan</t>
  </si>
  <si>
    <t>Penerimaan</t>
  </si>
  <si>
    <t>Pengeluaran</t>
  </si>
  <si>
    <t>QTY</t>
  </si>
  <si>
    <t>Harga</t>
  </si>
  <si>
    <t>Jumlah</t>
  </si>
  <si>
    <t>01/KK/01/06</t>
  </si>
  <si>
    <t>01/J/01/06</t>
  </si>
  <si>
    <t>01/B/01/06</t>
  </si>
  <si>
    <t>02/KK/01/06</t>
  </si>
  <si>
    <t>02/KM/01/06</t>
  </si>
  <si>
    <t>03/KM/01/06</t>
  </si>
  <si>
    <t>03/KK/01/06</t>
  </si>
  <si>
    <t>01/NR/01/06</t>
  </si>
  <si>
    <t>04/KM/01/06</t>
  </si>
  <si>
    <t>04/KK/01/06</t>
  </si>
  <si>
    <t>05/KK/01/06</t>
  </si>
  <si>
    <t>02/J/01/06</t>
  </si>
  <si>
    <t>03/J/01/06</t>
  </si>
  <si>
    <t>02/NR/01/06</t>
  </si>
  <si>
    <t>04/J/01/06</t>
  </si>
  <si>
    <t>06/KK/01/06</t>
  </si>
  <si>
    <t xml:space="preserve">  </t>
  </si>
  <si>
    <t>07/KK/01/06</t>
  </si>
  <si>
    <t>Beban Piutang Tak Tertagih</t>
  </si>
  <si>
    <t>Ongkos Angkut</t>
  </si>
  <si>
    <t>08/KK/01/06</t>
  </si>
  <si>
    <t xml:space="preserve"> </t>
  </si>
  <si>
    <t>05/KM/01/06</t>
  </si>
  <si>
    <t>05/J/01/06</t>
  </si>
  <si>
    <t>Dakum</t>
  </si>
  <si>
    <t xml:space="preserve">               </t>
  </si>
  <si>
    <t>06/KM/01/06</t>
  </si>
  <si>
    <t>09/KK/01/06</t>
  </si>
  <si>
    <t>01/BM/01/06</t>
  </si>
  <si>
    <t>JP</t>
  </si>
  <si>
    <t>Kode Akun :</t>
  </si>
  <si>
    <t>Nama Akun :</t>
  </si>
  <si>
    <t>Saldo</t>
  </si>
  <si>
    <t>Saldo Awal</t>
  </si>
  <si>
    <t>Penjualan Counter</t>
  </si>
  <si>
    <t>Angsuran Piutang</t>
  </si>
  <si>
    <t>Penjualan Kendaraan</t>
  </si>
  <si>
    <t>Pelunasan Hutang S01</t>
  </si>
  <si>
    <t>DP S01</t>
  </si>
  <si>
    <t>Pemindahan Dana</t>
  </si>
  <si>
    <t>Pelunasan Piutang C02</t>
  </si>
  <si>
    <t>05/K/01/06</t>
  </si>
  <si>
    <t>Pembelian kendaraan</t>
  </si>
  <si>
    <t>01/KM//01/06</t>
  </si>
  <si>
    <t>Pelunasan Piutang C04</t>
  </si>
  <si>
    <t>Pelunasan Piutang C01</t>
  </si>
  <si>
    <t>Sewa Ruangan</t>
  </si>
  <si>
    <t>Pelunasan Piutang C03</t>
  </si>
  <si>
    <t>Pln &amp; Telkom</t>
  </si>
  <si>
    <t>Pelunasan Hutang S03</t>
  </si>
  <si>
    <t>Bagian Umum</t>
  </si>
  <si>
    <t>Pembayaran Gaji</t>
  </si>
  <si>
    <t>DP C01</t>
  </si>
  <si>
    <t>Penjualan C03</t>
  </si>
  <si>
    <t>01/KM/01/06</t>
  </si>
  <si>
    <t>01/NK/01/06</t>
  </si>
  <si>
    <t>03/KM01/06</t>
  </si>
  <si>
    <t>Pembelian C02</t>
  </si>
  <si>
    <t>Pembelian C01</t>
  </si>
  <si>
    <t>Piutang Dakum</t>
  </si>
  <si>
    <t>Pembayaran Dakum</t>
  </si>
  <si>
    <t>Cadangan Piutang Tak Tertagih</t>
  </si>
  <si>
    <t>Pembelian S01</t>
  </si>
  <si>
    <t>Retur Pembelian</t>
  </si>
  <si>
    <t>Retur Penjualan Tunai</t>
  </si>
  <si>
    <t>Penjualan C02</t>
  </si>
  <si>
    <t>Penjualan C01</t>
  </si>
  <si>
    <t>Retur Penjualan C02</t>
  </si>
  <si>
    <t>05/j01/06</t>
  </si>
  <si>
    <t>Pembelian Motor</t>
  </si>
  <si>
    <t>Penjualan Motor</t>
  </si>
  <si>
    <t xml:space="preserve">Pelunasan Hutang </t>
  </si>
  <si>
    <t>Mutasi Transaksi Kredit</t>
  </si>
  <si>
    <t>Mutasi Transaksi Debit</t>
  </si>
  <si>
    <t>Kode Pelanggan</t>
  </si>
  <si>
    <t>BUKU BESAR PEMBANTU PIUTANG</t>
  </si>
  <si>
    <t>PT. FADALI FURNITUR</t>
  </si>
  <si>
    <t>DAFTAR NAMA AKUN PT. FADALI FURNITUR</t>
  </si>
  <si>
    <t>Pelunasan</t>
  </si>
  <si>
    <t>Penjualan</t>
  </si>
  <si>
    <t>Kode Supplier</t>
  </si>
  <si>
    <t>Nama Supplier</t>
  </si>
  <si>
    <t>Pelunasan Hutang</t>
  </si>
  <si>
    <t>Pembelian</t>
  </si>
  <si>
    <t>BUKU BESAR PEMBANTU HUTANG</t>
  </si>
  <si>
    <t>NERACA SALDO</t>
  </si>
  <si>
    <t>No. ACC</t>
  </si>
  <si>
    <t>KETERANGAN</t>
  </si>
  <si>
    <t>REF</t>
  </si>
  <si>
    <t>DEBET</t>
  </si>
  <si>
    <t>KREDIT</t>
  </si>
  <si>
    <t>TOTAL</t>
  </si>
  <si>
    <t>PERIODE JANUARI</t>
  </si>
  <si>
    <t>-</t>
  </si>
  <si>
    <t>02/BM/01/06</t>
  </si>
  <si>
    <t>03/BM/01/06</t>
  </si>
  <si>
    <t>04/BM/01/06</t>
  </si>
  <si>
    <t>01/PO/01/06</t>
  </si>
  <si>
    <t>LAPORAN LABA RUGI</t>
  </si>
  <si>
    <t>JUMLAH RETUR DAN POTONGAN</t>
  </si>
  <si>
    <t>PENJUALAN BERSIH</t>
  </si>
  <si>
    <t>LABA KOTOR PENJUALAN</t>
  </si>
  <si>
    <t>JUMLAH BEBAN USAHA</t>
  </si>
  <si>
    <t>JUMLAH PENDAPATAN LUAR USAHA</t>
  </si>
  <si>
    <t>JUMLAH BEBAN LUAR USAHA</t>
  </si>
  <si>
    <t>JUMLAH PENDAPATAN DAN BEBAN LUAR USAHA</t>
  </si>
  <si>
    <t>LABA BERSIH SEBELUM KENA PAJAK</t>
  </si>
  <si>
    <t>Laba di Tahan Awal Periode</t>
  </si>
  <si>
    <t>Laba bersih</t>
  </si>
  <si>
    <t>Deviden</t>
  </si>
  <si>
    <t>Laba di Tahan Akhir Periode</t>
  </si>
  <si>
    <t>JUMLAH ASSET</t>
  </si>
  <si>
    <t>JUMLAH KEWAJIBAN + EKUITAS</t>
  </si>
  <si>
    <t>AKTIVA</t>
  </si>
  <si>
    <t>Aktiva Lancar</t>
  </si>
  <si>
    <t>KEWAJIBAN</t>
  </si>
  <si>
    <t>Kewajiban Lancar</t>
  </si>
  <si>
    <t>Jumlah Kewajiban lancar</t>
  </si>
  <si>
    <t>Kewajiban jangka Panjang</t>
  </si>
  <si>
    <t>Jumlah Kewajiban jangka Panjang</t>
  </si>
  <si>
    <t>Jumlah kewajiban</t>
  </si>
  <si>
    <t>Jumlah Aktiva Lancar</t>
  </si>
  <si>
    <t>Aktiva Tetap</t>
  </si>
  <si>
    <t>Ekuitas</t>
  </si>
  <si>
    <t>Jumlah Ekuitas</t>
  </si>
  <si>
    <t>Jumlah Aktiva Tetap</t>
  </si>
  <si>
    <t>LAPORAN NERACA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</si>
</sst>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2" formatCode="_-&quot;Rp&quot;* #,##0_-;\-&quot;Rp&quot;* #,##0_-;_-&quot;Rp&quot;* &quot;-&quot;_-;_-@_-"/>
    <numFmt numFmtId="164" formatCode="&quot;Rp&quot;#,##0"/>
    <numFmt numFmtId="165" formatCode="_(&quot;Rp&quot;* #,##0_);_(&quot;Rp&quot;* \(#,##0\);_(&quot;Rp&quot;* &quot;-&quot;_);_(@_)"/>
  </numFmts>
  <fonts count="6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8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2"/>
      <color theme="1"/>
      <name val="Times New Roman"/>
      <family val="1"/>
    </font>
    <font>
      <sz val="12"/>
      <color theme="1"/>
      <name val="Times New Roman"/>
      <family val="1"/>
    </font>
  </fonts>
  <fills count="5">
    <fill>
      <patternFill patternType="none"/>
    </fill>
    <fill>
      <patternFill patternType="gray125"/>
    </fill>
    <fill>
      <patternFill patternType="solid">
        <fgColor theme="7" tint="0.39997558519241921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0"/>
        <bgColor indexed="64"/>
      </patternFill>
    </fill>
  </fills>
  <borders count="59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</borders>
  <cellStyleXfs count="2">
    <xf numFmtId="0" fontId="0" fillId="0" borderId="0"/>
    <xf numFmtId="42" fontId="3" fillId="0" borderId="0" applyFont="0" applyFill="0" applyBorder="0" applyAlignment="0" applyProtection="0"/>
  </cellStyleXfs>
  <cellXfs count="307">
    <xf numFmtId="0" fontId="0" fillId="0" borderId="0" xfId="0"/>
    <xf numFmtId="0" fontId="0" fillId="0" borderId="4" xfId="0" applyBorder="1"/>
    <xf numFmtId="164" fontId="0" fillId="0" borderId="4" xfId="0" applyNumberFormat="1" applyBorder="1"/>
    <xf numFmtId="0" fontId="0" fillId="0" borderId="9" xfId="0" applyBorder="1"/>
    <xf numFmtId="164" fontId="0" fillId="0" borderId="9" xfId="0" applyNumberFormat="1" applyBorder="1"/>
    <xf numFmtId="164" fontId="0" fillId="0" borderId="10" xfId="0" applyNumberFormat="1" applyBorder="1"/>
    <xf numFmtId="164" fontId="0" fillId="0" borderId="12" xfId="0" applyNumberFormat="1" applyBorder="1"/>
    <xf numFmtId="0" fontId="0" fillId="0" borderId="2" xfId="0" applyBorder="1"/>
    <xf numFmtId="164" fontId="0" fillId="0" borderId="2" xfId="0" applyNumberFormat="1" applyBorder="1"/>
    <xf numFmtId="0" fontId="0" fillId="0" borderId="12" xfId="0" applyBorder="1"/>
    <xf numFmtId="164" fontId="0" fillId="0" borderId="24" xfId="0" applyNumberFormat="1" applyBorder="1"/>
    <xf numFmtId="164" fontId="0" fillId="0" borderId="23" xfId="0" applyNumberFormat="1" applyBorder="1"/>
    <xf numFmtId="0" fontId="0" fillId="0" borderId="26" xfId="0" applyBorder="1"/>
    <xf numFmtId="164" fontId="0" fillId="0" borderId="26" xfId="0" applyNumberFormat="1" applyBorder="1"/>
    <xf numFmtId="0" fontId="0" fillId="0" borderId="27" xfId="0" applyBorder="1"/>
    <xf numFmtId="164" fontId="0" fillId="0" borderId="3" xfId="0" applyNumberFormat="1" applyBorder="1"/>
    <xf numFmtId="164" fontId="0" fillId="0" borderId="34" xfId="0" applyNumberFormat="1" applyBorder="1"/>
    <xf numFmtId="164" fontId="0" fillId="0" borderId="35" xfId="0" applyNumberFormat="1" applyBorder="1"/>
    <xf numFmtId="164" fontId="0" fillId="0" borderId="37" xfId="0" applyNumberFormat="1" applyBorder="1"/>
    <xf numFmtId="164" fontId="1" fillId="3" borderId="26" xfId="0" applyNumberFormat="1" applyFont="1" applyFill="1" applyBorder="1" applyAlignment="1">
      <alignment horizontal="center"/>
    </xf>
    <xf numFmtId="164" fontId="1" fillId="3" borderId="27" xfId="0" applyNumberFormat="1" applyFont="1" applyFill="1" applyBorder="1" applyAlignment="1">
      <alignment horizontal="center"/>
    </xf>
    <xf numFmtId="164" fontId="0" fillId="0" borderId="22" xfId="0" applyNumberFormat="1" applyBorder="1"/>
    <xf numFmtId="16" fontId="0" fillId="0" borderId="11" xfId="0" applyNumberFormat="1" applyBorder="1"/>
    <xf numFmtId="16" fontId="0" fillId="0" borderId="25" xfId="0" applyNumberFormat="1" applyBorder="1"/>
    <xf numFmtId="164" fontId="0" fillId="0" borderId="27" xfId="0" applyNumberFormat="1" applyBorder="1"/>
    <xf numFmtId="1" fontId="0" fillId="0" borderId="34" xfId="0" applyNumberFormat="1" applyBorder="1"/>
    <xf numFmtId="164" fontId="0" fillId="0" borderId="31" xfId="0" applyNumberFormat="1" applyBorder="1"/>
    <xf numFmtId="164" fontId="0" fillId="0" borderId="39" xfId="0" applyNumberFormat="1" applyBorder="1"/>
    <xf numFmtId="16" fontId="0" fillId="0" borderId="0" xfId="0" applyNumberFormat="1" applyBorder="1"/>
    <xf numFmtId="164" fontId="0" fillId="0" borderId="0" xfId="0" applyNumberFormat="1" applyBorder="1"/>
    <xf numFmtId="164" fontId="0" fillId="0" borderId="40" xfId="0" applyNumberFormat="1" applyBorder="1"/>
    <xf numFmtId="164" fontId="0" fillId="0" borderId="32" xfId="0" applyNumberFormat="1" applyBorder="1"/>
    <xf numFmtId="164" fontId="0" fillId="0" borderId="41" xfId="0" applyNumberFormat="1" applyBorder="1"/>
    <xf numFmtId="164" fontId="0" fillId="0" borderId="38" xfId="0" applyNumberFormat="1" applyBorder="1"/>
    <xf numFmtId="164" fontId="1" fillId="3" borderId="14" xfId="0" applyNumberFormat="1" applyFont="1" applyFill="1" applyBorder="1" applyAlignment="1">
      <alignment horizontal="center"/>
    </xf>
    <xf numFmtId="164" fontId="1" fillId="3" borderId="15" xfId="0" applyNumberFormat="1" applyFont="1" applyFill="1" applyBorder="1" applyAlignment="1">
      <alignment horizontal="center"/>
    </xf>
    <xf numFmtId="0" fontId="0" fillId="0" borderId="8" xfId="0" applyBorder="1"/>
    <xf numFmtId="0" fontId="0" fillId="0" borderId="1" xfId="0" applyBorder="1"/>
    <xf numFmtId="16" fontId="0" fillId="0" borderId="0" xfId="0" applyNumberFormat="1"/>
    <xf numFmtId="42" fontId="5" fillId="0" borderId="0" xfId="1" applyFont="1" applyAlignment="1"/>
    <xf numFmtId="0" fontId="5" fillId="0" borderId="0" xfId="0" applyFont="1"/>
    <xf numFmtId="42" fontId="5" fillId="0" borderId="0" xfId="1" applyFont="1"/>
    <xf numFmtId="42" fontId="4" fillId="3" borderId="42" xfId="1" applyFont="1" applyFill="1" applyBorder="1"/>
    <xf numFmtId="42" fontId="4" fillId="3" borderId="16" xfId="1" applyFont="1" applyFill="1" applyBorder="1"/>
    <xf numFmtId="42" fontId="4" fillId="3" borderId="47" xfId="1" applyFont="1" applyFill="1" applyBorder="1"/>
    <xf numFmtId="0" fontId="5" fillId="3" borderId="14" xfId="0" applyFont="1" applyFill="1" applyBorder="1"/>
    <xf numFmtId="42" fontId="4" fillId="3" borderId="3" xfId="1" applyFont="1" applyFill="1" applyBorder="1"/>
    <xf numFmtId="0" fontId="4" fillId="3" borderId="16" xfId="0" applyFont="1" applyFill="1" applyBorder="1" applyAlignment="1"/>
    <xf numFmtId="42" fontId="4" fillId="3" borderId="49" xfId="1" applyFont="1" applyFill="1" applyBorder="1"/>
    <xf numFmtId="0" fontId="5" fillId="2" borderId="11" xfId="0" applyFont="1" applyFill="1" applyBorder="1" applyAlignment="1">
      <alignment horizontal="center"/>
    </xf>
    <xf numFmtId="0" fontId="5" fillId="2" borderId="4" xfId="0" applyFont="1" applyFill="1" applyBorder="1" applyAlignment="1">
      <alignment vertical="center"/>
    </xf>
    <xf numFmtId="42" fontId="5" fillId="2" borderId="48" xfId="1" applyFont="1" applyFill="1" applyBorder="1" applyAlignment="1"/>
    <xf numFmtId="42" fontId="5" fillId="2" borderId="45" xfId="1" applyFont="1" applyFill="1" applyBorder="1" applyAlignment="1"/>
    <xf numFmtId="0" fontId="5" fillId="2" borderId="4" xfId="0" applyFont="1" applyFill="1" applyBorder="1"/>
    <xf numFmtId="42" fontId="5" fillId="2" borderId="12" xfId="1" applyFont="1" applyFill="1" applyBorder="1"/>
    <xf numFmtId="42" fontId="5" fillId="2" borderId="15" xfId="1" applyFont="1" applyFill="1" applyBorder="1"/>
    <xf numFmtId="0" fontId="5" fillId="2" borderId="4" xfId="0" applyFont="1" applyFill="1" applyBorder="1" applyAlignment="1">
      <alignment horizontal="left"/>
    </xf>
    <xf numFmtId="42" fontId="5" fillId="2" borderId="55" xfId="1" applyFont="1" applyFill="1" applyBorder="1"/>
    <xf numFmtId="42" fontId="5" fillId="2" borderId="48" xfId="1" applyFont="1" applyFill="1" applyBorder="1"/>
    <xf numFmtId="0" fontId="5" fillId="2" borderId="13" xfId="0" applyFont="1" applyFill="1" applyBorder="1" applyAlignment="1">
      <alignment horizontal="center"/>
    </xf>
    <xf numFmtId="42" fontId="5" fillId="2" borderId="45" xfId="1" applyFont="1" applyFill="1" applyBorder="1"/>
    <xf numFmtId="42" fontId="4" fillId="2" borderId="0" xfId="1" applyFont="1" applyFill="1" applyBorder="1"/>
    <xf numFmtId="0" fontId="5" fillId="2" borderId="14" xfId="0" applyFont="1" applyFill="1" applyBorder="1"/>
    <xf numFmtId="42" fontId="4" fillId="2" borderId="4" xfId="1" applyFont="1" applyFill="1" applyBorder="1" applyAlignment="1"/>
    <xf numFmtId="42" fontId="5" fillId="2" borderId="4" xfId="1" applyFont="1" applyFill="1" applyBorder="1" applyAlignment="1"/>
    <xf numFmtId="0" fontId="5" fillId="2" borderId="4" xfId="0" applyFont="1" applyFill="1" applyBorder="1" applyAlignment="1">
      <alignment horizontal="center"/>
    </xf>
    <xf numFmtId="42" fontId="5" fillId="2" borderId="4" xfId="1" applyFont="1" applyFill="1" applyBorder="1"/>
    <xf numFmtId="42" fontId="4" fillId="2" borderId="4" xfId="1" applyFont="1" applyFill="1" applyBorder="1"/>
    <xf numFmtId="42" fontId="5" fillId="3" borderId="4" xfId="1" applyFont="1" applyFill="1" applyBorder="1"/>
    <xf numFmtId="42" fontId="4" fillId="3" borderId="4" xfId="1" applyFont="1" applyFill="1" applyBorder="1"/>
    <xf numFmtId="165" fontId="5" fillId="3" borderId="4" xfId="0" applyNumberFormat="1" applyFont="1" applyFill="1" applyBorder="1"/>
    <xf numFmtId="165" fontId="5" fillId="3" borderId="3" xfId="0" applyNumberFormat="1" applyFont="1" applyFill="1" applyBorder="1"/>
    <xf numFmtId="165" fontId="5" fillId="3" borderId="10" xfId="0" applyNumberFormat="1" applyFont="1" applyFill="1" applyBorder="1"/>
    <xf numFmtId="0" fontId="4" fillId="3" borderId="8" xfId="0" applyFont="1" applyFill="1" applyBorder="1"/>
    <xf numFmtId="0" fontId="5" fillId="3" borderId="9" xfId="0" applyFont="1" applyFill="1" applyBorder="1"/>
    <xf numFmtId="0" fontId="5" fillId="3" borderId="11" xfId="0" applyFont="1" applyFill="1" applyBorder="1"/>
    <xf numFmtId="0" fontId="5" fillId="3" borderId="12" xfId="0" applyFont="1" applyFill="1" applyBorder="1"/>
    <xf numFmtId="0" fontId="5" fillId="3" borderId="13" xfId="0" applyFont="1" applyFill="1" applyBorder="1"/>
    <xf numFmtId="165" fontId="5" fillId="3" borderId="15" xfId="0" applyNumberFormat="1" applyFont="1" applyFill="1" applyBorder="1"/>
    <xf numFmtId="164" fontId="0" fillId="0" borderId="33" xfId="0" applyNumberFormat="1" applyBorder="1" applyAlignment="1">
      <alignment horizontal="center"/>
    </xf>
    <xf numFmtId="164" fontId="0" fillId="0" borderId="34" xfId="0" applyNumberFormat="1" applyBorder="1" applyAlignment="1">
      <alignment horizontal="center"/>
    </xf>
    <xf numFmtId="164" fontId="0" fillId="0" borderId="36" xfId="0" applyNumberFormat="1" applyBorder="1" applyAlignment="1">
      <alignment horizontal="center"/>
    </xf>
    <xf numFmtId="164" fontId="0" fillId="0" borderId="0" xfId="0" applyNumberFormat="1" applyBorder="1" applyAlignment="1">
      <alignment horizontal="center"/>
    </xf>
    <xf numFmtId="164" fontId="1" fillId="3" borderId="8" xfId="0" applyNumberFormat="1" applyFont="1" applyFill="1" applyBorder="1" applyAlignment="1">
      <alignment horizontal="center" vertical="center" wrapText="1"/>
    </xf>
    <xf numFmtId="164" fontId="1" fillId="3" borderId="13" xfId="0" applyNumberFormat="1" applyFont="1" applyFill="1" applyBorder="1" applyAlignment="1">
      <alignment horizontal="center" vertical="center" wrapText="1"/>
    </xf>
    <xf numFmtId="164" fontId="1" fillId="3" borderId="9" xfId="0" applyNumberFormat="1" applyFont="1" applyFill="1" applyBorder="1" applyAlignment="1">
      <alignment horizontal="center" vertical="center" wrapText="1"/>
    </xf>
    <xf numFmtId="164" fontId="1" fillId="3" borderId="14" xfId="0" applyNumberFormat="1" applyFont="1" applyFill="1" applyBorder="1" applyAlignment="1">
      <alignment horizontal="center" vertical="center" wrapText="1"/>
    </xf>
    <xf numFmtId="164" fontId="1" fillId="3" borderId="9" xfId="0" applyNumberFormat="1" applyFont="1" applyFill="1" applyBorder="1" applyAlignment="1">
      <alignment horizontal="center" vertical="center"/>
    </xf>
    <xf numFmtId="164" fontId="1" fillId="3" borderId="14" xfId="0" applyNumberFormat="1" applyFont="1" applyFill="1" applyBorder="1" applyAlignment="1">
      <alignment horizontal="center" vertical="center"/>
    </xf>
    <xf numFmtId="164" fontId="1" fillId="3" borderId="9" xfId="0" applyNumberFormat="1" applyFont="1" applyFill="1" applyBorder="1" applyAlignment="1">
      <alignment horizontal="center"/>
    </xf>
    <xf numFmtId="164" fontId="0" fillId="3" borderId="10" xfId="0" applyNumberFormat="1" applyFill="1" applyBorder="1" applyAlignment="1">
      <alignment horizontal="center"/>
    </xf>
    <xf numFmtId="0" fontId="4" fillId="3" borderId="4" xfId="0" applyFont="1" applyFill="1" applyBorder="1" applyAlignment="1">
      <alignment horizontal="center"/>
    </xf>
    <xf numFmtId="0" fontId="5" fillId="0" borderId="0" xfId="0" applyFont="1" applyAlignment="1">
      <alignment horizontal="center"/>
    </xf>
    <xf numFmtId="0" fontId="4" fillId="2" borderId="4" xfId="0" applyFont="1" applyFill="1" applyBorder="1" applyAlignment="1">
      <alignment horizontal="center"/>
    </xf>
    <xf numFmtId="0" fontId="4" fillId="3" borderId="16" xfId="0" applyFont="1" applyFill="1" applyBorder="1" applyAlignment="1">
      <alignment horizontal="center"/>
    </xf>
    <xf numFmtId="0" fontId="4" fillId="3" borderId="46" xfId="0" applyFont="1" applyFill="1" applyBorder="1" applyAlignment="1">
      <alignment horizontal="center"/>
    </xf>
    <xf numFmtId="0" fontId="4" fillId="2" borderId="0" xfId="0" applyFont="1" applyFill="1" applyBorder="1" applyAlignment="1">
      <alignment horizontal="center"/>
    </xf>
    <xf numFmtId="0" fontId="4" fillId="3" borderId="38" xfId="0" applyFont="1" applyFill="1" applyBorder="1" applyAlignment="1">
      <alignment horizontal="center"/>
    </xf>
    <xf numFmtId="0" fontId="4" fillId="3" borderId="57" xfId="0" applyFont="1" applyFill="1" applyBorder="1" applyAlignment="1">
      <alignment horizontal="center"/>
    </xf>
    <xf numFmtId="0" fontId="4" fillId="3" borderId="33" xfId="0" applyFont="1" applyFill="1" applyBorder="1" applyAlignment="1">
      <alignment horizontal="center"/>
    </xf>
    <xf numFmtId="0" fontId="4" fillId="3" borderId="34" xfId="0" applyFont="1" applyFill="1" applyBorder="1" applyAlignment="1">
      <alignment horizontal="center"/>
    </xf>
    <xf numFmtId="0" fontId="4" fillId="3" borderId="35" xfId="0" applyFont="1" applyFill="1" applyBorder="1" applyAlignment="1">
      <alignment horizontal="center"/>
    </xf>
    <xf numFmtId="0" fontId="4" fillId="3" borderId="11" xfId="0" applyFont="1" applyFill="1" applyBorder="1" applyAlignment="1">
      <alignment horizontal="center"/>
    </xf>
    <xf numFmtId="0" fontId="4" fillId="3" borderId="48" xfId="0" applyFont="1" applyFill="1" applyBorder="1" applyAlignment="1">
      <alignment horizontal="center"/>
    </xf>
    <xf numFmtId="0" fontId="4" fillId="3" borderId="50" xfId="0" applyFont="1" applyFill="1" applyBorder="1" applyAlignment="1">
      <alignment horizontal="left"/>
    </xf>
    <xf numFmtId="0" fontId="4" fillId="3" borderId="51" xfId="0" applyFont="1" applyFill="1" applyBorder="1" applyAlignment="1">
      <alignment horizontal="left"/>
    </xf>
    <xf numFmtId="0" fontId="4" fillId="3" borderId="1" xfId="0" applyFont="1" applyFill="1" applyBorder="1" applyAlignment="1">
      <alignment horizontal="center"/>
    </xf>
    <xf numFmtId="0" fontId="5" fillId="3" borderId="2" xfId="0" applyFont="1" applyFill="1" applyBorder="1" applyAlignment="1">
      <alignment horizontal="center"/>
    </xf>
    <xf numFmtId="0" fontId="4" fillId="3" borderId="2" xfId="0" applyFont="1" applyFill="1" applyBorder="1" applyAlignment="1">
      <alignment horizontal="center"/>
    </xf>
    <xf numFmtId="0" fontId="5" fillId="2" borderId="58" xfId="0" applyFont="1" applyFill="1" applyBorder="1" applyAlignment="1">
      <alignment horizontal="center"/>
    </xf>
    <xf numFmtId="0" fontId="5" fillId="2" borderId="44" xfId="0" applyFont="1" applyFill="1" applyBorder="1" applyAlignment="1">
      <alignment horizontal="center"/>
    </xf>
    <xf numFmtId="0" fontId="5" fillId="2" borderId="56" xfId="0" applyFont="1" applyFill="1" applyBorder="1" applyAlignment="1">
      <alignment horizontal="center"/>
    </xf>
    <xf numFmtId="0" fontId="4" fillId="2" borderId="50" xfId="0" applyFont="1" applyFill="1" applyBorder="1" applyAlignment="1">
      <alignment horizontal="left"/>
    </xf>
    <xf numFmtId="0" fontId="4" fillId="2" borderId="29" xfId="0" applyFont="1" applyFill="1" applyBorder="1" applyAlignment="1">
      <alignment horizontal="left"/>
    </xf>
    <xf numFmtId="0" fontId="4" fillId="2" borderId="52" xfId="0" applyFont="1" applyFill="1" applyBorder="1" applyAlignment="1">
      <alignment horizontal="left" vertical="center"/>
    </xf>
    <xf numFmtId="0" fontId="4" fillId="2" borderId="53" xfId="0" applyFont="1" applyFill="1" applyBorder="1" applyAlignment="1">
      <alignment horizontal="left" vertical="center"/>
    </xf>
    <xf numFmtId="0" fontId="4" fillId="2" borderId="52" xfId="0" applyFont="1" applyFill="1" applyBorder="1" applyAlignment="1">
      <alignment horizontal="left"/>
    </xf>
    <xf numFmtId="0" fontId="4" fillId="2" borderId="53" xfId="0" applyFont="1" applyFill="1" applyBorder="1" applyAlignment="1">
      <alignment horizontal="left"/>
    </xf>
    <xf numFmtId="0" fontId="4" fillId="2" borderId="54" xfId="0" applyFont="1" applyFill="1" applyBorder="1" applyAlignment="1">
      <alignment horizontal="left"/>
    </xf>
    <xf numFmtId="0" fontId="4" fillId="3" borderId="50" xfId="0" applyFont="1" applyFill="1" applyBorder="1" applyAlignment="1">
      <alignment horizontal="center" vertical="center"/>
    </xf>
    <xf numFmtId="0" fontId="4" fillId="3" borderId="51" xfId="0" applyFont="1" applyFill="1" applyBorder="1" applyAlignment="1">
      <alignment horizontal="center" vertical="center"/>
    </xf>
    <xf numFmtId="164" fontId="1" fillId="3" borderId="25" xfId="0" applyNumberFormat="1" applyFont="1" applyFill="1" applyBorder="1" applyAlignment="1">
      <alignment horizontal="center" vertical="center" wrapText="1"/>
    </xf>
    <xf numFmtId="164" fontId="1" fillId="3" borderId="26" xfId="0" applyNumberFormat="1" applyFont="1" applyFill="1" applyBorder="1" applyAlignment="1">
      <alignment horizontal="center" vertical="center" wrapText="1"/>
    </xf>
    <xf numFmtId="164" fontId="1" fillId="3" borderId="26" xfId="0" applyNumberFormat="1" applyFont="1" applyFill="1" applyBorder="1" applyAlignment="1">
      <alignment horizontal="center" vertical="center"/>
    </xf>
    <xf numFmtId="0" fontId="4" fillId="0" borderId="0" xfId="0" applyFont="1" applyAlignment="1">
      <alignment horizontal="center" vertical="center" wrapText="1"/>
    </xf>
    <xf numFmtId="0" fontId="4" fillId="3" borderId="5" xfId="0" applyFont="1" applyFill="1" applyBorder="1" applyAlignment="1">
      <alignment horizontal="center"/>
    </xf>
    <xf numFmtId="0" fontId="4" fillId="3" borderId="6" xfId="0" applyFont="1" applyFill="1" applyBorder="1" applyAlignment="1">
      <alignment horizontal="center"/>
    </xf>
    <xf numFmtId="0" fontId="4" fillId="3" borderId="7" xfId="0" applyFont="1" applyFill="1" applyBorder="1" applyAlignment="1">
      <alignment horizontal="center"/>
    </xf>
    <xf numFmtId="0" fontId="4" fillId="3" borderId="5" xfId="0" applyFont="1" applyFill="1" applyBorder="1" applyAlignment="1">
      <alignment horizontal="center"/>
    </xf>
    <xf numFmtId="0" fontId="4" fillId="3" borderId="6" xfId="0" applyFont="1" applyFill="1" applyBorder="1" applyAlignment="1">
      <alignment horizontal="center"/>
    </xf>
    <xf numFmtId="0" fontId="4" fillId="3" borderId="7" xfId="0" applyFont="1" applyFill="1" applyBorder="1" applyAlignment="1">
      <alignment horizontal="center"/>
    </xf>
    <xf numFmtId="1" fontId="5" fillId="0" borderId="8" xfId="0" applyNumberFormat="1" applyFont="1" applyBorder="1"/>
    <xf numFmtId="0" fontId="5" fillId="0" borderId="9" xfId="0" applyFont="1" applyBorder="1"/>
    <xf numFmtId="164" fontId="5" fillId="0" borderId="9" xfId="0" applyNumberFormat="1" applyFont="1" applyBorder="1"/>
    <xf numFmtId="164" fontId="5" fillId="0" borderId="10" xfId="0" applyNumberFormat="1" applyFont="1" applyBorder="1"/>
    <xf numFmtId="1" fontId="5" fillId="0" borderId="11" xfId="0" applyNumberFormat="1" applyFont="1" applyBorder="1"/>
    <xf numFmtId="0" fontId="5" fillId="0" borderId="4" xfId="0" applyFont="1" applyBorder="1"/>
    <xf numFmtId="164" fontId="5" fillId="0" borderId="4" xfId="0" applyNumberFormat="1" applyFont="1" applyBorder="1"/>
    <xf numFmtId="164" fontId="5" fillId="0" borderId="12" xfId="0" applyNumberFormat="1" applyFont="1" applyBorder="1"/>
    <xf numFmtId="0" fontId="5" fillId="0" borderId="8" xfId="0" applyFont="1" applyBorder="1" applyAlignment="1">
      <alignment horizontal="center"/>
    </xf>
    <xf numFmtId="0" fontId="5" fillId="0" borderId="10" xfId="0" applyFont="1" applyBorder="1"/>
    <xf numFmtId="0" fontId="5" fillId="0" borderId="11" xfId="0" applyFont="1" applyBorder="1" applyAlignment="1">
      <alignment horizontal="center"/>
    </xf>
    <xf numFmtId="0" fontId="5" fillId="0" borderId="12" xfId="0" applyFont="1" applyBorder="1"/>
    <xf numFmtId="0" fontId="5" fillId="0" borderId="13" xfId="0" applyFont="1" applyBorder="1" applyAlignment="1">
      <alignment horizontal="center"/>
    </xf>
    <xf numFmtId="0" fontId="5" fillId="0" borderId="14" xfId="0" applyFont="1" applyBorder="1"/>
    <xf numFmtId="164" fontId="5" fillId="0" borderId="14" xfId="0" applyNumberFormat="1" applyFont="1" applyBorder="1"/>
    <xf numFmtId="0" fontId="5" fillId="0" borderId="15" xfId="0" applyFont="1" applyBorder="1"/>
    <xf numFmtId="164" fontId="5" fillId="3" borderId="2" xfId="0" applyNumberFormat="1" applyFont="1" applyFill="1" applyBorder="1"/>
    <xf numFmtId="0" fontId="5" fillId="3" borderId="3" xfId="0" applyFont="1" applyFill="1" applyBorder="1"/>
    <xf numFmtId="0" fontId="4" fillId="0" borderId="4" xfId="0" applyFont="1" applyBorder="1" applyAlignment="1">
      <alignment horizontal="center"/>
    </xf>
    <xf numFmtId="0" fontId="5" fillId="0" borderId="4" xfId="0" applyFont="1" applyBorder="1" applyAlignment="1">
      <alignment horizontal="center"/>
    </xf>
    <xf numFmtId="0" fontId="4" fillId="3" borderId="17" xfId="0" applyFont="1" applyFill="1" applyBorder="1" applyAlignment="1">
      <alignment horizontal="center"/>
    </xf>
    <xf numFmtId="0" fontId="4" fillId="3" borderId="18" xfId="0" applyFont="1" applyFill="1" applyBorder="1" applyAlignment="1">
      <alignment horizontal="center"/>
    </xf>
    <xf numFmtId="0" fontId="4" fillId="2" borderId="16" xfId="0" applyFont="1" applyFill="1" applyBorder="1" applyAlignment="1">
      <alignment horizontal="center"/>
    </xf>
    <xf numFmtId="0" fontId="4" fillId="2" borderId="17" xfId="0" applyFont="1" applyFill="1" applyBorder="1" applyAlignment="1">
      <alignment horizontal="center"/>
    </xf>
    <xf numFmtId="0" fontId="4" fillId="2" borderId="18" xfId="0" applyFont="1" applyFill="1" applyBorder="1" applyAlignment="1">
      <alignment horizontal="center"/>
    </xf>
    <xf numFmtId="0" fontId="5" fillId="0" borderId="22" xfId="0" applyFont="1" applyBorder="1" applyAlignment="1">
      <alignment horizontal="center"/>
    </xf>
    <xf numFmtId="0" fontId="5" fillId="0" borderId="23" xfId="0" applyFont="1" applyBorder="1" applyAlignment="1">
      <alignment horizontal="left"/>
    </xf>
    <xf numFmtId="0" fontId="5" fillId="0" borderId="23" xfId="0" applyFont="1" applyBorder="1" applyAlignment="1">
      <alignment horizontal="center"/>
    </xf>
    <xf numFmtId="164" fontId="5" fillId="0" borderId="23" xfId="0" applyNumberFormat="1" applyFont="1" applyBorder="1" applyAlignment="1">
      <alignment horizontal="right"/>
    </xf>
    <xf numFmtId="164" fontId="5" fillId="0" borderId="24" xfId="0" applyNumberFormat="1" applyFont="1" applyBorder="1"/>
    <xf numFmtId="0" fontId="5" fillId="0" borderId="4" xfId="0" applyFont="1" applyBorder="1" applyAlignment="1">
      <alignment horizontal="left"/>
    </xf>
    <xf numFmtId="0" fontId="5" fillId="0" borderId="4" xfId="0" applyFont="1" applyBorder="1" applyAlignment="1">
      <alignment horizontal="center"/>
    </xf>
    <xf numFmtId="164" fontId="5" fillId="0" borderId="4" xfId="0" applyNumberFormat="1" applyFont="1" applyBorder="1" applyAlignment="1">
      <alignment horizontal="right"/>
    </xf>
    <xf numFmtId="0" fontId="5" fillId="0" borderId="14" xfId="0" applyFont="1" applyBorder="1" applyAlignment="1">
      <alignment horizontal="left"/>
    </xf>
    <xf numFmtId="0" fontId="5" fillId="0" borderId="14" xfId="0" applyFont="1" applyBorder="1" applyAlignment="1">
      <alignment horizontal="center"/>
    </xf>
    <xf numFmtId="164" fontId="5" fillId="0" borderId="14" xfId="0" applyNumberFormat="1" applyFont="1" applyBorder="1" applyAlignment="1">
      <alignment horizontal="right"/>
    </xf>
    <xf numFmtId="164" fontId="5" fillId="0" borderId="15" xfId="0" applyNumberFormat="1" applyFont="1" applyBorder="1"/>
    <xf numFmtId="0" fontId="4" fillId="3" borderId="19" xfId="0" applyFont="1" applyFill="1" applyBorder="1" applyAlignment="1">
      <alignment horizontal="center" vertical="center"/>
    </xf>
    <xf numFmtId="0" fontId="4" fillId="3" borderId="20" xfId="0" applyFont="1" applyFill="1" applyBorder="1" applyAlignment="1">
      <alignment horizontal="center" vertical="center"/>
    </xf>
    <xf numFmtId="0" fontId="4" fillId="3" borderId="21" xfId="0" applyFont="1" applyFill="1" applyBorder="1" applyAlignment="1">
      <alignment horizontal="center" vertical="center"/>
    </xf>
    <xf numFmtId="164" fontId="5" fillId="3" borderId="12" xfId="0" applyNumberFormat="1" applyFont="1" applyFill="1" applyBorder="1"/>
    <xf numFmtId="1" fontId="5" fillId="0" borderId="11" xfId="0" applyNumberFormat="1" applyFont="1" applyFill="1" applyBorder="1"/>
    <xf numFmtId="0" fontId="5" fillId="0" borderId="4" xfId="0" applyFont="1" applyFill="1" applyBorder="1"/>
    <xf numFmtId="1" fontId="5" fillId="0" borderId="13" xfId="0" applyNumberFormat="1" applyFont="1" applyBorder="1"/>
    <xf numFmtId="1" fontId="4" fillId="0" borderId="1" xfId="0" applyNumberFormat="1" applyFont="1" applyBorder="1" applyAlignment="1">
      <alignment horizontal="center"/>
    </xf>
    <xf numFmtId="1" fontId="4" fillId="0" borderId="2" xfId="0" applyNumberFormat="1" applyFont="1" applyBorder="1" applyAlignment="1">
      <alignment horizontal="center"/>
    </xf>
    <xf numFmtId="0" fontId="5" fillId="0" borderId="2" xfId="0" applyFont="1" applyBorder="1"/>
    <xf numFmtId="164" fontId="5" fillId="0" borderId="2" xfId="0" applyNumberFormat="1" applyFont="1" applyBorder="1"/>
    <xf numFmtId="164" fontId="5" fillId="0" borderId="3" xfId="0" applyNumberFormat="1" applyFont="1" applyBorder="1"/>
    <xf numFmtId="1" fontId="5" fillId="0" borderId="0" xfId="0" applyNumberFormat="1" applyFont="1"/>
    <xf numFmtId="0" fontId="4" fillId="0" borderId="0" xfId="0" applyFont="1" applyAlignment="1">
      <alignment horizontal="center"/>
    </xf>
    <xf numFmtId="0" fontId="5" fillId="2" borderId="0" xfId="0" applyFont="1" applyFill="1" applyBorder="1"/>
    <xf numFmtId="0" fontId="5" fillId="3" borderId="1" xfId="0" applyFont="1" applyFill="1" applyBorder="1"/>
    <xf numFmtId="0" fontId="5" fillId="3" borderId="2" xfId="0" applyFont="1" applyFill="1" applyBorder="1"/>
    <xf numFmtId="1" fontId="5" fillId="2" borderId="22" xfId="0" applyNumberFormat="1" applyFont="1" applyFill="1" applyBorder="1"/>
    <xf numFmtId="0" fontId="5" fillId="2" borderId="23" xfId="0" applyFont="1" applyFill="1" applyBorder="1"/>
    <xf numFmtId="164" fontId="5" fillId="2" borderId="23" xfId="0" applyNumberFormat="1" applyFont="1" applyFill="1" applyBorder="1"/>
    <xf numFmtId="164" fontId="5" fillId="2" borderId="24" xfId="0" applyNumberFormat="1" applyFont="1" applyFill="1" applyBorder="1"/>
    <xf numFmtId="1" fontId="5" fillId="2" borderId="11" xfId="0" applyNumberFormat="1" applyFont="1" applyFill="1" applyBorder="1"/>
    <xf numFmtId="164" fontId="5" fillId="2" borderId="4" xfId="0" applyNumberFormat="1" applyFont="1" applyFill="1" applyBorder="1"/>
    <xf numFmtId="164" fontId="5" fillId="2" borderId="12" xfId="0" applyNumberFormat="1" applyFont="1" applyFill="1" applyBorder="1"/>
    <xf numFmtId="1" fontId="5" fillId="2" borderId="13" xfId="0" applyNumberFormat="1" applyFont="1" applyFill="1" applyBorder="1"/>
    <xf numFmtId="164" fontId="5" fillId="2" borderId="14" xfId="0" applyNumberFormat="1" applyFont="1" applyFill="1" applyBorder="1"/>
    <xf numFmtId="164" fontId="5" fillId="2" borderId="15" xfId="0" applyNumberFormat="1" applyFont="1" applyFill="1" applyBorder="1"/>
    <xf numFmtId="0" fontId="4" fillId="3" borderId="2" xfId="0" applyFont="1" applyFill="1" applyBorder="1"/>
    <xf numFmtId="164" fontId="4" fillId="3" borderId="2" xfId="0" applyNumberFormat="1" applyFont="1" applyFill="1" applyBorder="1"/>
    <xf numFmtId="164" fontId="4" fillId="3" borderId="3" xfId="0" applyNumberFormat="1" applyFont="1" applyFill="1" applyBorder="1"/>
    <xf numFmtId="0" fontId="4" fillId="0" borderId="33" xfId="0" applyFont="1" applyBorder="1"/>
    <xf numFmtId="0" fontId="5" fillId="0" borderId="34" xfId="0" applyFont="1" applyBorder="1"/>
    <xf numFmtId="0" fontId="5" fillId="0" borderId="35" xfId="0" applyFont="1" applyBorder="1"/>
    <xf numFmtId="0" fontId="4" fillId="0" borderId="36" xfId="0" applyFont="1" applyBorder="1"/>
    <xf numFmtId="0" fontId="5" fillId="0" borderId="37" xfId="0" applyFont="1" applyBorder="1"/>
    <xf numFmtId="0" fontId="4" fillId="3" borderId="8" xfId="0" applyFont="1" applyFill="1" applyBorder="1" applyAlignment="1">
      <alignment horizontal="center" vertical="center"/>
    </xf>
    <xf numFmtId="0" fontId="4" fillId="3" borderId="9" xfId="0" applyFont="1" applyFill="1" applyBorder="1" applyAlignment="1">
      <alignment horizontal="center" vertical="center" wrapText="1"/>
    </xf>
    <xf numFmtId="0" fontId="4" fillId="3" borderId="9" xfId="0" applyFont="1" applyFill="1" applyBorder="1" applyAlignment="1">
      <alignment horizontal="center" vertical="center"/>
    </xf>
    <xf numFmtId="0" fontId="4" fillId="3" borderId="10" xfId="0" applyFont="1" applyFill="1" applyBorder="1" applyAlignment="1">
      <alignment horizontal="center" vertical="center"/>
    </xf>
    <xf numFmtId="0" fontId="4" fillId="3" borderId="13" xfId="0" applyFont="1" applyFill="1" applyBorder="1" applyAlignment="1">
      <alignment horizontal="center" vertical="center"/>
    </xf>
    <xf numFmtId="0" fontId="4" fillId="3" borderId="14" xfId="0" applyFont="1" applyFill="1" applyBorder="1" applyAlignment="1">
      <alignment horizontal="center" vertical="center" wrapText="1"/>
    </xf>
    <xf numFmtId="0" fontId="4" fillId="3" borderId="14" xfId="0" applyFont="1" applyFill="1" applyBorder="1" applyAlignment="1">
      <alignment horizontal="center" vertical="center"/>
    </xf>
    <xf numFmtId="0" fontId="4" fillId="3" borderId="14" xfId="0" applyFont="1" applyFill="1" applyBorder="1" applyAlignment="1">
      <alignment vertical="center"/>
    </xf>
    <xf numFmtId="0" fontId="4" fillId="3" borderId="15" xfId="0" applyFont="1" applyFill="1" applyBorder="1" applyAlignment="1">
      <alignment vertical="center"/>
    </xf>
    <xf numFmtId="0" fontId="5" fillId="0" borderId="8" xfId="0" applyFont="1" applyBorder="1"/>
    <xf numFmtId="16" fontId="5" fillId="0" borderId="11" xfId="0" applyNumberFormat="1" applyFont="1" applyBorder="1"/>
    <xf numFmtId="16" fontId="5" fillId="0" borderId="25" xfId="0" applyNumberFormat="1" applyFont="1" applyBorder="1"/>
    <xf numFmtId="0" fontId="5" fillId="0" borderId="26" xfId="0" applyFont="1" applyBorder="1"/>
    <xf numFmtId="0" fontId="5" fillId="0" borderId="27" xfId="0" applyFont="1" applyBorder="1"/>
    <xf numFmtId="16" fontId="5" fillId="0" borderId="0" xfId="0" applyNumberFormat="1" applyFont="1" applyBorder="1"/>
    <xf numFmtId="0" fontId="5" fillId="0" borderId="0" xfId="0" applyFont="1" applyBorder="1"/>
    <xf numFmtId="0" fontId="5" fillId="0" borderId="1" xfId="0" applyFont="1" applyBorder="1"/>
    <xf numFmtId="0" fontId="5" fillId="0" borderId="3" xfId="0" applyFont="1" applyBorder="1"/>
    <xf numFmtId="0" fontId="5" fillId="0" borderId="5" xfId="0" applyFont="1" applyBorder="1"/>
    <xf numFmtId="0" fontId="5" fillId="0" borderId="6" xfId="0" applyFont="1" applyBorder="1"/>
    <xf numFmtId="0" fontId="5" fillId="0" borderId="7" xfId="0" applyFont="1" applyBorder="1"/>
    <xf numFmtId="164" fontId="5" fillId="0" borderId="33" xfId="0" applyNumberFormat="1" applyFont="1" applyBorder="1" applyAlignment="1">
      <alignment horizontal="center"/>
    </xf>
    <xf numFmtId="164" fontId="5" fillId="0" borderId="34" xfId="0" applyNumberFormat="1" applyFont="1" applyBorder="1" applyAlignment="1">
      <alignment horizontal="center"/>
    </xf>
    <xf numFmtId="1" fontId="5" fillId="0" borderId="34" xfId="0" applyNumberFormat="1" applyFont="1" applyBorder="1"/>
    <xf numFmtId="164" fontId="5" fillId="0" borderId="34" xfId="0" applyNumberFormat="1" applyFont="1" applyBorder="1"/>
    <xf numFmtId="164" fontId="5" fillId="0" borderId="35" xfId="0" applyNumberFormat="1" applyFont="1" applyBorder="1"/>
    <xf numFmtId="164" fontId="5" fillId="0" borderId="36" xfId="0" applyNumberFormat="1" applyFont="1" applyBorder="1" applyAlignment="1">
      <alignment horizontal="center"/>
    </xf>
    <xf numFmtId="164" fontId="5" fillId="0" borderId="0" xfId="0" applyNumberFormat="1" applyFont="1" applyBorder="1" applyAlignment="1">
      <alignment horizontal="center"/>
    </xf>
    <xf numFmtId="164" fontId="5" fillId="0" borderId="0" xfId="0" applyNumberFormat="1" applyFont="1" applyBorder="1"/>
    <xf numFmtId="164" fontId="5" fillId="0" borderId="37" xfId="0" applyNumberFormat="1" applyFont="1" applyBorder="1"/>
    <xf numFmtId="164" fontId="4" fillId="3" borderId="8" xfId="0" applyNumberFormat="1" applyFont="1" applyFill="1" applyBorder="1" applyAlignment="1">
      <alignment horizontal="center" vertical="center" wrapText="1"/>
    </xf>
    <xf numFmtId="164" fontId="4" fillId="3" borderId="9" xfId="0" applyNumberFormat="1" applyFont="1" applyFill="1" applyBorder="1" applyAlignment="1">
      <alignment horizontal="center" vertical="center" wrapText="1"/>
    </xf>
    <xf numFmtId="164" fontId="4" fillId="3" borderId="9" xfId="0" applyNumberFormat="1" applyFont="1" applyFill="1" applyBorder="1" applyAlignment="1">
      <alignment horizontal="center" vertical="center"/>
    </xf>
    <xf numFmtId="164" fontId="4" fillId="3" borderId="9" xfId="0" applyNumberFormat="1" applyFont="1" applyFill="1" applyBorder="1" applyAlignment="1">
      <alignment horizontal="center"/>
    </xf>
    <xf numFmtId="164" fontId="5" fillId="3" borderId="10" xfId="0" applyNumberFormat="1" applyFont="1" applyFill="1" applyBorder="1" applyAlignment="1">
      <alignment horizontal="center"/>
    </xf>
    <xf numFmtId="164" fontId="4" fillId="3" borderId="13" xfId="0" applyNumberFormat="1" applyFont="1" applyFill="1" applyBorder="1" applyAlignment="1">
      <alignment horizontal="center" vertical="center" wrapText="1"/>
    </xf>
    <xf numFmtId="164" fontId="4" fillId="3" borderId="14" xfId="0" applyNumberFormat="1" applyFont="1" applyFill="1" applyBorder="1" applyAlignment="1">
      <alignment horizontal="center" vertical="center" wrapText="1"/>
    </xf>
    <xf numFmtId="164" fontId="4" fillId="3" borderId="14" xfId="0" applyNumberFormat="1" applyFont="1" applyFill="1" applyBorder="1" applyAlignment="1">
      <alignment horizontal="center" vertical="center"/>
    </xf>
    <xf numFmtId="164" fontId="4" fillId="3" borderId="14" xfId="0" applyNumberFormat="1" applyFont="1" applyFill="1" applyBorder="1" applyAlignment="1">
      <alignment horizontal="center"/>
    </xf>
    <xf numFmtId="164" fontId="4" fillId="3" borderId="15" xfId="0" applyNumberFormat="1" applyFont="1" applyFill="1" applyBorder="1" applyAlignment="1">
      <alignment horizontal="center"/>
    </xf>
    <xf numFmtId="16" fontId="5" fillId="0" borderId="8" xfId="0" applyNumberFormat="1" applyFont="1" applyBorder="1"/>
    <xf numFmtId="164" fontId="5" fillId="0" borderId="26" xfId="0" applyNumberFormat="1" applyFont="1" applyBorder="1"/>
    <xf numFmtId="164" fontId="5" fillId="0" borderId="27" xfId="0" applyNumberFormat="1" applyFont="1" applyBorder="1"/>
    <xf numFmtId="1" fontId="5" fillId="3" borderId="14" xfId="0" applyNumberFormat="1" applyFont="1" applyFill="1" applyBorder="1"/>
    <xf numFmtId="0" fontId="5" fillId="3" borderId="15" xfId="0" applyFont="1" applyFill="1" applyBorder="1"/>
    <xf numFmtId="14" fontId="5" fillId="0" borderId="8" xfId="0" applyNumberFormat="1" applyFont="1" applyBorder="1"/>
    <xf numFmtId="0" fontId="5" fillId="0" borderId="9" xfId="0" applyFont="1" applyFill="1" applyBorder="1" applyAlignment="1">
      <alignment horizontal="center" vertical="center"/>
    </xf>
    <xf numFmtId="0" fontId="5" fillId="0" borderId="9" xfId="0" applyFont="1" applyFill="1" applyBorder="1" applyAlignment="1">
      <alignment horizontal="left" vertical="center"/>
    </xf>
    <xf numFmtId="0" fontId="4" fillId="0" borderId="9" xfId="0" applyFont="1" applyFill="1" applyBorder="1" applyAlignment="1">
      <alignment horizontal="center" vertical="center"/>
    </xf>
    <xf numFmtId="164" fontId="5" fillId="0" borderId="9" xfId="0" applyNumberFormat="1" applyFont="1" applyFill="1" applyBorder="1" applyAlignment="1">
      <alignment horizontal="center" vertical="center"/>
    </xf>
    <xf numFmtId="1" fontId="5" fillId="0" borderId="9" xfId="0" applyNumberFormat="1" applyFont="1" applyFill="1" applyBorder="1"/>
    <xf numFmtId="0" fontId="5" fillId="0" borderId="9" xfId="0" applyFont="1" applyFill="1" applyBorder="1"/>
    <xf numFmtId="0" fontId="5" fillId="0" borderId="10" xfId="0" applyFont="1" applyFill="1" applyBorder="1"/>
    <xf numFmtId="0" fontId="4" fillId="0" borderId="25" xfId="0" applyFont="1" applyFill="1" applyBorder="1" applyAlignment="1">
      <alignment horizontal="center" vertical="center"/>
    </xf>
    <xf numFmtId="0" fontId="5" fillId="0" borderId="26" xfId="0" applyFont="1" applyFill="1" applyBorder="1" applyAlignment="1">
      <alignment horizontal="center" vertical="center"/>
    </xf>
    <xf numFmtId="0" fontId="5" fillId="0" borderId="26" xfId="0" applyFont="1" applyFill="1" applyBorder="1" applyAlignment="1">
      <alignment horizontal="left" vertical="center"/>
    </xf>
    <xf numFmtId="0" fontId="4" fillId="0" borderId="26" xfId="0" applyFont="1" applyFill="1" applyBorder="1" applyAlignment="1">
      <alignment horizontal="center" vertical="center"/>
    </xf>
    <xf numFmtId="164" fontId="5" fillId="0" borderId="26" xfId="0" applyNumberFormat="1" applyFont="1" applyFill="1" applyBorder="1" applyAlignment="1">
      <alignment horizontal="center" vertical="center"/>
    </xf>
    <xf numFmtId="1" fontId="5" fillId="0" borderId="26" xfId="0" applyNumberFormat="1" applyFont="1" applyFill="1" applyBorder="1"/>
    <xf numFmtId="0" fontId="5" fillId="0" borderId="26" xfId="0" applyFont="1" applyFill="1" applyBorder="1"/>
    <xf numFmtId="0" fontId="5" fillId="0" borderId="27" xfId="0" applyFont="1" applyFill="1" applyBorder="1"/>
    <xf numFmtId="14" fontId="5" fillId="0" borderId="22" xfId="0" applyNumberFormat="1" applyFont="1" applyBorder="1"/>
    <xf numFmtId="0" fontId="5" fillId="0" borderId="43" xfId="0" applyFont="1" applyBorder="1"/>
    <xf numFmtId="0" fontId="5" fillId="0" borderId="23" xfId="0" applyFont="1" applyBorder="1"/>
    <xf numFmtId="0" fontId="5" fillId="4" borderId="23" xfId="0" applyFont="1" applyFill="1" applyBorder="1"/>
    <xf numFmtId="164" fontId="5" fillId="0" borderId="23" xfId="0" applyNumberFormat="1" applyFont="1" applyBorder="1"/>
    <xf numFmtId="0" fontId="5" fillId="0" borderId="24" xfId="0" applyFont="1" applyBorder="1"/>
    <xf numFmtId="14" fontId="5" fillId="0" borderId="25" xfId="0" applyNumberFormat="1" applyFont="1" applyBorder="1"/>
    <xf numFmtId="0" fontId="5" fillId="0" borderId="21" xfId="0" applyFont="1" applyBorder="1"/>
    <xf numFmtId="0" fontId="5" fillId="4" borderId="26" xfId="0" applyFont="1" applyFill="1" applyBorder="1"/>
    <xf numFmtId="0" fontId="5" fillId="0" borderId="28" xfId="0" applyFont="1" applyBorder="1"/>
    <xf numFmtId="0" fontId="5" fillId="4" borderId="9" xfId="0" applyFont="1" applyFill="1" applyBorder="1"/>
    <xf numFmtId="14" fontId="5" fillId="0" borderId="11" xfId="0" applyNumberFormat="1" applyFont="1" applyBorder="1"/>
    <xf numFmtId="0" fontId="5" fillId="0" borderId="29" xfId="0" applyFont="1" applyBorder="1"/>
    <xf numFmtId="0" fontId="5" fillId="4" borderId="4" xfId="0" applyFont="1" applyFill="1" applyBorder="1"/>
    <xf numFmtId="14" fontId="5" fillId="0" borderId="13" xfId="0" applyNumberFormat="1" applyFont="1" applyBorder="1"/>
    <xf numFmtId="0" fontId="5" fillId="0" borderId="30" xfId="0" applyFont="1" applyBorder="1"/>
    <xf numFmtId="0" fontId="5" fillId="4" borderId="14" xfId="0" applyFont="1" applyFill="1" applyBorder="1"/>
    <xf numFmtId="14" fontId="5" fillId="0" borderId="4" xfId="0" applyNumberFormat="1" applyFont="1" applyBorder="1"/>
    <xf numFmtId="0" fontId="5" fillId="4" borderId="31" xfId="0" applyFont="1" applyFill="1" applyBorder="1"/>
    <xf numFmtId="0" fontId="5" fillId="0" borderId="11" xfId="0" applyFont="1" applyBorder="1"/>
    <xf numFmtId="0" fontId="5" fillId="0" borderId="13" xfId="0" applyFont="1" applyBorder="1"/>
    <xf numFmtId="0" fontId="5" fillId="4" borderId="32" xfId="0" applyFont="1" applyFill="1" applyBorder="1"/>
    <xf numFmtId="0" fontId="5" fillId="0" borderId="25" xfId="0" applyFont="1" applyBorder="1"/>
    <xf numFmtId="164" fontId="5" fillId="0" borderId="0" xfId="0" applyNumberFormat="1" applyFont="1"/>
    <xf numFmtId="0" fontId="5" fillId="0" borderId="6" xfId="0" applyFont="1" applyFill="1" applyBorder="1"/>
    <xf numFmtId="0" fontId="5" fillId="0" borderId="40" xfId="0" applyFont="1" applyBorder="1"/>
    <xf numFmtId="0" fontId="5" fillId="0" borderId="32" xfId="0" applyFont="1" applyBorder="1"/>
    <xf numFmtId="164" fontId="5" fillId="0" borderId="32" xfId="0" applyNumberFormat="1" applyFont="1" applyBorder="1"/>
    <xf numFmtId="0" fontId="5" fillId="0" borderId="41" xfId="0" applyFont="1" applyBorder="1"/>
    <xf numFmtId="14" fontId="5" fillId="4" borderId="8" xfId="0" applyNumberFormat="1" applyFont="1" applyFill="1" applyBorder="1"/>
    <xf numFmtId="164" fontId="5" fillId="4" borderId="9" xfId="0" applyNumberFormat="1" applyFont="1" applyFill="1" applyBorder="1"/>
    <xf numFmtId="0" fontId="5" fillId="4" borderId="10" xfId="0" applyFont="1" applyFill="1" applyBorder="1"/>
    <xf numFmtId="0" fontId="5" fillId="4" borderId="11" xfId="0" applyFont="1" applyFill="1" applyBorder="1"/>
    <xf numFmtId="164" fontId="5" fillId="4" borderId="4" xfId="0" applyNumberFormat="1" applyFont="1" applyFill="1" applyBorder="1"/>
    <xf numFmtId="0" fontId="5" fillId="4" borderId="12" xfId="0" applyFont="1" applyFill="1" applyBorder="1"/>
    <xf numFmtId="0" fontId="5" fillId="4" borderId="25" xfId="0" applyFont="1" applyFill="1" applyBorder="1"/>
    <xf numFmtId="164" fontId="5" fillId="4" borderId="26" xfId="0" applyNumberFormat="1" applyFont="1" applyFill="1" applyBorder="1"/>
    <xf numFmtId="0" fontId="5" fillId="4" borderId="27" xfId="0" applyFont="1" applyFill="1" applyBorder="1"/>
    <xf numFmtId="164" fontId="5" fillId="4" borderId="14" xfId="0" applyNumberFormat="1" applyFont="1" applyFill="1" applyBorder="1"/>
    <xf numFmtId="0" fontId="5" fillId="4" borderId="15" xfId="0" applyFont="1" applyFill="1" applyBorder="1"/>
    <xf numFmtId="0" fontId="4" fillId="0" borderId="17" xfId="0" applyFont="1" applyBorder="1" applyAlignment="1">
      <alignment horizontal="center"/>
    </xf>
    <xf numFmtId="0" fontId="4" fillId="0" borderId="16" xfId="0" applyFont="1" applyBorder="1" applyAlignment="1">
      <alignment horizontal="center"/>
    </xf>
    <xf numFmtId="0" fontId="5" fillId="4" borderId="13" xfId="0" applyFont="1" applyFill="1" applyBorder="1"/>
  </cellXfs>
  <cellStyles count="2">
    <cellStyle name="Currency [0]" xfId="1" builtinId="7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C92B66B-1569-403A-9AD8-83662C48F466}">
  <dimension ref="A1:K146"/>
  <sheetViews>
    <sheetView showGridLines="0" topLeftCell="A27" workbookViewId="0">
      <selection activeCell="B39" sqref="B39"/>
    </sheetView>
  </sheetViews>
  <sheetFormatPr defaultRowHeight="15.75" x14ac:dyDescent="0.25"/>
  <cols>
    <col min="1" max="1" width="9.28515625" style="40" bestFit="1" customWidth="1"/>
    <col min="2" max="2" width="37.140625" style="40" bestFit="1" customWidth="1"/>
    <col min="3" max="3" width="9.140625" style="40"/>
    <col min="4" max="5" width="15.140625" style="40" bestFit="1" customWidth="1"/>
    <col min="6" max="6" width="9.140625" style="40"/>
    <col min="7" max="7" width="12" style="40" bestFit="1" customWidth="1"/>
    <col min="8" max="8" width="20.85546875" style="40" bestFit="1" customWidth="1"/>
    <col min="9" max="9" width="14.7109375" style="40" bestFit="1" customWidth="1"/>
    <col min="10" max="10" width="16.85546875" style="40" bestFit="1" customWidth="1"/>
    <col min="11" max="11" width="17" style="40" bestFit="1" customWidth="1"/>
    <col min="12" max="16384" width="9.140625" style="40"/>
  </cols>
  <sheetData>
    <row r="1" spans="1:10" x14ac:dyDescent="0.25">
      <c r="A1" s="124" t="s">
        <v>192</v>
      </c>
      <c r="B1" s="124"/>
      <c r="C1" s="124"/>
      <c r="D1" s="124"/>
      <c r="E1" s="124"/>
    </row>
    <row r="2" spans="1:10" ht="16.5" thickBot="1" x14ac:dyDescent="0.3">
      <c r="A2" s="124"/>
      <c r="B2" s="124"/>
      <c r="C2" s="124"/>
      <c r="D2" s="124"/>
      <c r="E2" s="124"/>
    </row>
    <row r="3" spans="1:10" ht="16.5" thickBot="1" x14ac:dyDescent="0.3">
      <c r="A3" s="125" t="s">
        <v>0</v>
      </c>
      <c r="B3" s="126" t="s">
        <v>1</v>
      </c>
      <c r="C3" s="126" t="s">
        <v>2</v>
      </c>
      <c r="D3" s="126" t="s">
        <v>3</v>
      </c>
      <c r="E3" s="127" t="s">
        <v>4</v>
      </c>
      <c r="G3" s="128" t="s">
        <v>51</v>
      </c>
      <c r="H3" s="129"/>
      <c r="I3" s="129"/>
      <c r="J3" s="130"/>
    </row>
    <row r="4" spans="1:10" ht="16.5" thickBot="1" x14ac:dyDescent="0.3">
      <c r="A4" s="131">
        <v>11101</v>
      </c>
      <c r="B4" s="132" t="s">
        <v>5</v>
      </c>
      <c r="C4" s="132"/>
      <c r="D4" s="133">
        <v>2500000</v>
      </c>
      <c r="E4" s="134"/>
      <c r="G4" s="125" t="s">
        <v>52</v>
      </c>
      <c r="H4" s="126" t="s">
        <v>53</v>
      </c>
      <c r="I4" s="126" t="s">
        <v>54</v>
      </c>
      <c r="J4" s="127" t="s">
        <v>55</v>
      </c>
    </row>
    <row r="5" spans="1:10" x14ac:dyDescent="0.25">
      <c r="A5" s="135">
        <v>11102</v>
      </c>
      <c r="B5" s="136" t="s">
        <v>6</v>
      </c>
      <c r="C5" s="136"/>
      <c r="D5" s="137">
        <v>750000</v>
      </c>
      <c r="E5" s="138"/>
      <c r="G5" s="139" t="s">
        <v>56</v>
      </c>
      <c r="H5" s="132" t="s">
        <v>61</v>
      </c>
      <c r="I5" s="133">
        <v>10000000</v>
      </c>
      <c r="J5" s="140" t="s">
        <v>66</v>
      </c>
    </row>
    <row r="6" spans="1:10" x14ac:dyDescent="0.25">
      <c r="A6" s="135">
        <v>11201</v>
      </c>
      <c r="B6" s="136" t="s">
        <v>7</v>
      </c>
      <c r="C6" s="136"/>
      <c r="D6" s="137">
        <v>45000000</v>
      </c>
      <c r="E6" s="138"/>
      <c r="G6" s="141" t="s">
        <v>57</v>
      </c>
      <c r="H6" s="136" t="s">
        <v>62</v>
      </c>
      <c r="I6" s="137">
        <v>15000000</v>
      </c>
      <c r="J6" s="142" t="s">
        <v>66</v>
      </c>
    </row>
    <row r="7" spans="1:10" x14ac:dyDescent="0.25">
      <c r="A7" s="135">
        <v>11202</v>
      </c>
      <c r="B7" s="136" t="s">
        <v>8</v>
      </c>
      <c r="C7" s="136"/>
      <c r="D7" s="137">
        <v>25000000</v>
      </c>
      <c r="E7" s="138"/>
      <c r="G7" s="141" t="s">
        <v>58</v>
      </c>
      <c r="H7" s="136" t="s">
        <v>63</v>
      </c>
      <c r="I7" s="137">
        <v>7500000</v>
      </c>
      <c r="J7" s="142" t="s">
        <v>67</v>
      </c>
    </row>
    <row r="8" spans="1:10" x14ac:dyDescent="0.25">
      <c r="A8" s="135">
        <v>11301</v>
      </c>
      <c r="B8" s="136" t="s">
        <v>9</v>
      </c>
      <c r="C8" s="136"/>
      <c r="D8" s="137">
        <v>47500000</v>
      </c>
      <c r="E8" s="138"/>
      <c r="G8" s="141" t="s">
        <v>59</v>
      </c>
      <c r="H8" s="136" t="s">
        <v>64</v>
      </c>
      <c r="I8" s="137">
        <v>15000000</v>
      </c>
      <c r="J8" s="142" t="s">
        <v>67</v>
      </c>
    </row>
    <row r="9" spans="1:10" ht="16.5" thickBot="1" x14ac:dyDescent="0.3">
      <c r="A9" s="135">
        <v>11302</v>
      </c>
      <c r="B9" s="136" t="s">
        <v>176</v>
      </c>
      <c r="C9" s="136"/>
      <c r="D9" s="137"/>
      <c r="E9" s="138"/>
      <c r="G9" s="143" t="s">
        <v>60</v>
      </c>
      <c r="H9" s="144" t="s">
        <v>65</v>
      </c>
      <c r="I9" s="145"/>
      <c r="J9" s="146"/>
    </row>
    <row r="10" spans="1:10" ht="16.5" thickBot="1" x14ac:dyDescent="0.3">
      <c r="A10" s="135">
        <v>11401</v>
      </c>
      <c r="B10" s="136" t="s">
        <v>10</v>
      </c>
      <c r="C10" s="136"/>
      <c r="D10" s="137"/>
      <c r="E10" s="138"/>
      <c r="G10" s="106" t="s">
        <v>50</v>
      </c>
      <c r="H10" s="107"/>
      <c r="I10" s="147">
        <f>SUM(I5:I9)</f>
        <v>47500000</v>
      </c>
      <c r="J10" s="148"/>
    </row>
    <row r="11" spans="1:10" ht="16.5" thickBot="1" x14ac:dyDescent="0.3">
      <c r="A11" s="135">
        <v>11500</v>
      </c>
      <c r="B11" s="136" t="s">
        <v>11</v>
      </c>
      <c r="C11" s="136"/>
      <c r="D11" s="137">
        <v>166380000</v>
      </c>
      <c r="E11" s="138"/>
    </row>
    <row r="12" spans="1:10" ht="16.5" thickBot="1" x14ac:dyDescent="0.3">
      <c r="A12" s="135">
        <v>11600</v>
      </c>
      <c r="B12" s="136" t="s">
        <v>12</v>
      </c>
      <c r="C12" s="136"/>
      <c r="D12" s="137"/>
      <c r="E12" s="138"/>
      <c r="G12" s="128" t="s">
        <v>69</v>
      </c>
      <c r="H12" s="129"/>
      <c r="I12" s="129"/>
      <c r="J12" s="130"/>
    </row>
    <row r="13" spans="1:10" x14ac:dyDescent="0.25">
      <c r="A13" s="135">
        <v>11601</v>
      </c>
      <c r="B13" s="136" t="s">
        <v>13</v>
      </c>
      <c r="C13" s="136"/>
      <c r="D13" s="137"/>
      <c r="E13" s="138"/>
      <c r="G13" s="125" t="s">
        <v>52</v>
      </c>
      <c r="H13" s="126" t="s">
        <v>53</v>
      </c>
      <c r="I13" s="126" t="s">
        <v>68</v>
      </c>
      <c r="J13" s="127" t="s">
        <v>55</v>
      </c>
    </row>
    <row r="14" spans="1:10" x14ac:dyDescent="0.25">
      <c r="A14" s="135">
        <v>11602</v>
      </c>
      <c r="B14" s="136" t="s">
        <v>14</v>
      </c>
      <c r="C14" s="136"/>
      <c r="D14" s="137"/>
      <c r="E14" s="138"/>
      <c r="G14" s="136" t="s">
        <v>70</v>
      </c>
      <c r="H14" s="136" t="s">
        <v>73</v>
      </c>
      <c r="I14" s="137">
        <v>24000000</v>
      </c>
      <c r="J14" s="136" t="s">
        <v>76</v>
      </c>
    </row>
    <row r="15" spans="1:10" x14ac:dyDescent="0.25">
      <c r="A15" s="135">
        <v>12101</v>
      </c>
      <c r="B15" s="136" t="s">
        <v>15</v>
      </c>
      <c r="C15" s="136"/>
      <c r="D15" s="137">
        <v>25000000</v>
      </c>
      <c r="E15" s="138"/>
      <c r="G15" s="136" t="s">
        <v>71</v>
      </c>
      <c r="H15" s="136" t="s">
        <v>74</v>
      </c>
      <c r="I15" s="137">
        <v>16000000</v>
      </c>
      <c r="J15" s="136" t="s">
        <v>76</v>
      </c>
    </row>
    <row r="16" spans="1:10" x14ac:dyDescent="0.25">
      <c r="A16" s="135">
        <v>12102</v>
      </c>
      <c r="B16" s="136" t="s">
        <v>16</v>
      </c>
      <c r="C16" s="136"/>
      <c r="D16" s="137"/>
      <c r="E16" s="138">
        <v>7500000</v>
      </c>
      <c r="G16" s="136" t="s">
        <v>72</v>
      </c>
      <c r="H16" s="136" t="s">
        <v>75</v>
      </c>
      <c r="I16" s="137">
        <v>35000000</v>
      </c>
      <c r="J16" s="136" t="s">
        <v>76</v>
      </c>
    </row>
    <row r="17" spans="1:11" x14ac:dyDescent="0.25">
      <c r="A17" s="135">
        <v>12201</v>
      </c>
      <c r="B17" s="136" t="s">
        <v>17</v>
      </c>
      <c r="C17" s="136"/>
      <c r="D17" s="137">
        <v>45000000</v>
      </c>
      <c r="E17" s="138"/>
      <c r="G17" s="149" t="s">
        <v>50</v>
      </c>
      <c r="H17" s="150"/>
      <c r="I17" s="137">
        <f>SUM(I14:I16)</f>
        <v>75000000</v>
      </c>
      <c r="J17" s="136"/>
    </row>
    <row r="18" spans="1:11" ht="16.5" thickBot="1" x14ac:dyDescent="0.3">
      <c r="A18" s="135">
        <v>12202</v>
      </c>
      <c r="B18" s="136" t="s">
        <v>18</v>
      </c>
      <c r="C18" s="136"/>
      <c r="D18" s="137"/>
      <c r="E18" s="138">
        <v>25000000</v>
      </c>
    </row>
    <row r="19" spans="1:11" ht="16.5" thickBot="1" x14ac:dyDescent="0.3">
      <c r="A19" s="135">
        <v>21100</v>
      </c>
      <c r="B19" s="136" t="s">
        <v>19</v>
      </c>
      <c r="C19" s="136"/>
      <c r="D19" s="137"/>
      <c r="E19" s="138">
        <v>75000000</v>
      </c>
      <c r="G19" s="94" t="s">
        <v>77</v>
      </c>
      <c r="H19" s="151"/>
      <c r="I19" s="151"/>
      <c r="J19" s="151"/>
      <c r="K19" s="152"/>
    </row>
    <row r="20" spans="1:11" ht="16.5" thickBot="1" x14ac:dyDescent="0.3">
      <c r="A20" s="135">
        <v>21200</v>
      </c>
      <c r="B20" s="136" t="s">
        <v>20</v>
      </c>
      <c r="C20" s="136"/>
      <c r="D20" s="137"/>
      <c r="E20" s="138"/>
      <c r="G20" s="125" t="s">
        <v>78</v>
      </c>
      <c r="H20" s="126" t="s">
        <v>82</v>
      </c>
      <c r="I20" s="126" t="s">
        <v>79</v>
      </c>
      <c r="J20" s="126" t="s">
        <v>80</v>
      </c>
      <c r="K20" s="127" t="s">
        <v>81</v>
      </c>
    </row>
    <row r="21" spans="1:11" ht="16.5" thickBot="1" x14ac:dyDescent="0.3">
      <c r="A21" s="135">
        <v>21300</v>
      </c>
      <c r="B21" s="136" t="s">
        <v>21</v>
      </c>
      <c r="C21" s="136"/>
      <c r="D21" s="137"/>
      <c r="E21" s="138"/>
      <c r="G21" s="153" t="s">
        <v>88</v>
      </c>
      <c r="H21" s="154"/>
      <c r="I21" s="154"/>
      <c r="J21" s="154"/>
      <c r="K21" s="155"/>
    </row>
    <row r="22" spans="1:11" x14ac:dyDescent="0.25">
      <c r="A22" s="135">
        <v>21400</v>
      </c>
      <c r="B22" s="136" t="s">
        <v>22</v>
      </c>
      <c r="C22" s="136"/>
      <c r="D22" s="137"/>
      <c r="E22" s="138"/>
      <c r="G22" s="156" t="s">
        <v>83</v>
      </c>
      <c r="H22" s="157" t="s">
        <v>96</v>
      </c>
      <c r="I22" s="158">
        <v>15</v>
      </c>
      <c r="J22" s="159">
        <v>1200000</v>
      </c>
      <c r="K22" s="160">
        <f>I22*J22</f>
        <v>18000000</v>
      </c>
    </row>
    <row r="23" spans="1:11" x14ac:dyDescent="0.25">
      <c r="A23" s="135">
        <v>21401</v>
      </c>
      <c r="B23" s="136" t="s">
        <v>23</v>
      </c>
      <c r="C23" s="136"/>
      <c r="D23" s="137"/>
      <c r="E23" s="138"/>
      <c r="G23" s="141" t="s">
        <v>84</v>
      </c>
      <c r="H23" s="161" t="s">
        <v>97</v>
      </c>
      <c r="I23" s="162">
        <v>50</v>
      </c>
      <c r="J23" s="163">
        <v>325000</v>
      </c>
      <c r="K23" s="138">
        <f t="shared" ref="K23:K32" si="0">I23*J23</f>
        <v>16250000</v>
      </c>
    </row>
    <row r="24" spans="1:11" x14ac:dyDescent="0.25">
      <c r="A24" s="135">
        <v>21402</v>
      </c>
      <c r="B24" s="136" t="s">
        <v>24</v>
      </c>
      <c r="C24" s="136"/>
      <c r="D24" s="137"/>
      <c r="E24" s="138"/>
      <c r="G24" s="141" t="s">
        <v>85</v>
      </c>
      <c r="H24" s="161" t="s">
        <v>98</v>
      </c>
      <c r="I24" s="162">
        <v>20</v>
      </c>
      <c r="J24" s="163">
        <v>1400000</v>
      </c>
      <c r="K24" s="138">
        <f t="shared" si="0"/>
        <v>28000000</v>
      </c>
    </row>
    <row r="25" spans="1:11" ht="16.5" thickBot="1" x14ac:dyDescent="0.3">
      <c r="A25" s="135">
        <v>21403</v>
      </c>
      <c r="B25" s="136" t="s">
        <v>25</v>
      </c>
      <c r="C25" s="136"/>
      <c r="D25" s="137"/>
      <c r="E25" s="138"/>
      <c r="G25" s="143" t="s">
        <v>86</v>
      </c>
      <c r="H25" s="164" t="s">
        <v>99</v>
      </c>
      <c r="I25" s="165">
        <v>15</v>
      </c>
      <c r="J25" s="166">
        <v>1200000</v>
      </c>
      <c r="K25" s="167">
        <f t="shared" si="0"/>
        <v>18000000</v>
      </c>
    </row>
    <row r="26" spans="1:11" ht="16.5" thickBot="1" x14ac:dyDescent="0.3">
      <c r="A26" s="135">
        <v>22001</v>
      </c>
      <c r="B26" s="136" t="s">
        <v>26</v>
      </c>
      <c r="C26" s="136"/>
      <c r="D26" s="137"/>
      <c r="E26" s="138">
        <v>75000000</v>
      </c>
      <c r="G26" s="153" t="s">
        <v>87</v>
      </c>
      <c r="H26" s="154"/>
      <c r="I26" s="154"/>
      <c r="J26" s="154"/>
      <c r="K26" s="155"/>
    </row>
    <row r="27" spans="1:11" x14ac:dyDescent="0.25">
      <c r="A27" s="135">
        <v>31000</v>
      </c>
      <c r="B27" s="136" t="s">
        <v>27</v>
      </c>
      <c r="C27" s="136"/>
      <c r="D27" s="137"/>
      <c r="E27" s="138">
        <v>150000000</v>
      </c>
      <c r="G27" s="156" t="s">
        <v>89</v>
      </c>
      <c r="H27" s="157" t="s">
        <v>100</v>
      </c>
      <c r="I27" s="158">
        <v>8</v>
      </c>
      <c r="J27" s="159">
        <v>2850000</v>
      </c>
      <c r="K27" s="160">
        <f t="shared" si="0"/>
        <v>22800000</v>
      </c>
    </row>
    <row r="28" spans="1:11" ht="16.5" thickBot="1" x14ac:dyDescent="0.3">
      <c r="A28" s="135">
        <v>32000</v>
      </c>
      <c r="B28" s="136" t="s">
        <v>28</v>
      </c>
      <c r="C28" s="136"/>
      <c r="D28" s="137"/>
      <c r="E28" s="138">
        <v>24630000</v>
      </c>
      <c r="G28" s="143" t="s">
        <v>90</v>
      </c>
      <c r="H28" s="164" t="s">
        <v>101</v>
      </c>
      <c r="I28" s="165">
        <v>12</v>
      </c>
      <c r="J28" s="166">
        <v>590000</v>
      </c>
      <c r="K28" s="167">
        <f t="shared" si="0"/>
        <v>7080000</v>
      </c>
    </row>
    <row r="29" spans="1:11" ht="16.5" thickBot="1" x14ac:dyDescent="0.3">
      <c r="A29" s="135">
        <v>33000</v>
      </c>
      <c r="B29" s="136" t="s">
        <v>29</v>
      </c>
      <c r="C29" s="136"/>
      <c r="D29" s="137"/>
      <c r="E29" s="138"/>
      <c r="G29" s="153" t="s">
        <v>91</v>
      </c>
      <c r="H29" s="154"/>
      <c r="I29" s="154"/>
      <c r="J29" s="154"/>
      <c r="K29" s="155"/>
    </row>
    <row r="30" spans="1:11" x14ac:dyDescent="0.25">
      <c r="A30" s="135">
        <v>39999</v>
      </c>
      <c r="B30" s="136" t="s">
        <v>30</v>
      </c>
      <c r="C30" s="136"/>
      <c r="D30" s="137"/>
      <c r="E30" s="138"/>
      <c r="G30" s="156" t="s">
        <v>92</v>
      </c>
      <c r="H30" s="157" t="s">
        <v>102</v>
      </c>
      <c r="I30" s="158">
        <v>15</v>
      </c>
      <c r="J30" s="159">
        <v>1300000</v>
      </c>
      <c r="K30" s="160">
        <f t="shared" si="0"/>
        <v>19500000</v>
      </c>
    </row>
    <row r="31" spans="1:11" x14ac:dyDescent="0.25">
      <c r="A31" s="135">
        <v>41000</v>
      </c>
      <c r="B31" s="136" t="s">
        <v>31</v>
      </c>
      <c r="C31" s="136"/>
      <c r="D31" s="137"/>
      <c r="E31" s="138"/>
      <c r="G31" s="141" t="s">
        <v>93</v>
      </c>
      <c r="H31" s="161" t="s">
        <v>103</v>
      </c>
      <c r="I31" s="162">
        <v>12</v>
      </c>
      <c r="J31" s="163">
        <v>1750000</v>
      </c>
      <c r="K31" s="138">
        <f t="shared" si="0"/>
        <v>21000000</v>
      </c>
    </row>
    <row r="32" spans="1:11" x14ac:dyDescent="0.25">
      <c r="A32" s="135">
        <v>42000</v>
      </c>
      <c r="B32" s="136" t="s">
        <v>32</v>
      </c>
      <c r="C32" s="136"/>
      <c r="D32" s="137"/>
      <c r="E32" s="138"/>
      <c r="G32" s="141" t="s">
        <v>94</v>
      </c>
      <c r="H32" s="161" t="s">
        <v>104</v>
      </c>
      <c r="I32" s="162">
        <v>15</v>
      </c>
      <c r="J32" s="163">
        <v>1050000</v>
      </c>
      <c r="K32" s="138">
        <f t="shared" si="0"/>
        <v>15750000</v>
      </c>
    </row>
    <row r="33" spans="1:11" ht="16.5" thickBot="1" x14ac:dyDescent="0.3">
      <c r="A33" s="135">
        <v>43000</v>
      </c>
      <c r="B33" s="136" t="s">
        <v>33</v>
      </c>
      <c r="C33" s="136"/>
      <c r="D33" s="137"/>
      <c r="E33" s="138"/>
      <c r="G33" s="168" t="s">
        <v>95</v>
      </c>
      <c r="H33" s="169"/>
      <c r="I33" s="169"/>
      <c r="J33" s="170"/>
      <c r="K33" s="171">
        <f>SUM(K22:K32)</f>
        <v>166380000</v>
      </c>
    </row>
    <row r="34" spans="1:11" x14ac:dyDescent="0.25">
      <c r="A34" s="172">
        <v>44000</v>
      </c>
      <c r="B34" s="173" t="s">
        <v>134</v>
      </c>
      <c r="C34" s="136"/>
      <c r="D34" s="136"/>
      <c r="E34" s="142"/>
    </row>
    <row r="35" spans="1:11" x14ac:dyDescent="0.25">
      <c r="A35" s="135">
        <v>51000</v>
      </c>
      <c r="B35" s="136" t="s">
        <v>34</v>
      </c>
      <c r="C35" s="136"/>
      <c r="D35" s="137"/>
      <c r="E35" s="138"/>
    </row>
    <row r="36" spans="1:11" x14ac:dyDescent="0.25">
      <c r="A36" s="135">
        <v>61001</v>
      </c>
      <c r="B36" s="136" t="s">
        <v>35</v>
      </c>
      <c r="C36" s="136"/>
      <c r="D36" s="137"/>
      <c r="E36" s="138"/>
    </row>
    <row r="37" spans="1:11" x14ac:dyDescent="0.25">
      <c r="A37" s="135">
        <v>61002</v>
      </c>
      <c r="B37" s="136" t="s">
        <v>36</v>
      </c>
      <c r="C37" s="136"/>
      <c r="D37" s="137"/>
      <c r="E37" s="138"/>
    </row>
    <row r="38" spans="1:11" x14ac:dyDescent="0.25">
      <c r="A38" s="135">
        <v>61003</v>
      </c>
      <c r="B38" s="136" t="s">
        <v>133</v>
      </c>
      <c r="C38" s="136"/>
      <c r="D38" s="137"/>
      <c r="E38" s="138"/>
    </row>
    <row r="39" spans="1:11" x14ac:dyDescent="0.25">
      <c r="A39" s="135">
        <v>61004</v>
      </c>
      <c r="B39" s="136" t="s">
        <v>37</v>
      </c>
      <c r="C39" s="136"/>
      <c r="D39" s="137"/>
      <c r="E39" s="138"/>
    </row>
    <row r="40" spans="1:11" x14ac:dyDescent="0.25">
      <c r="A40" s="135">
        <v>61005</v>
      </c>
      <c r="B40" s="136" t="s">
        <v>38</v>
      </c>
      <c r="C40" s="136"/>
      <c r="D40" s="137"/>
      <c r="E40" s="138"/>
    </row>
    <row r="41" spans="1:11" x14ac:dyDescent="0.25">
      <c r="A41" s="135">
        <v>61006</v>
      </c>
      <c r="B41" s="136" t="s">
        <v>39</v>
      </c>
      <c r="C41" s="136"/>
      <c r="D41" s="137"/>
      <c r="E41" s="138"/>
    </row>
    <row r="42" spans="1:11" x14ac:dyDescent="0.25">
      <c r="A42" s="135">
        <v>61007</v>
      </c>
      <c r="B42" s="136" t="s">
        <v>40</v>
      </c>
      <c r="C42" s="136"/>
      <c r="D42" s="137"/>
      <c r="E42" s="138"/>
    </row>
    <row r="43" spans="1:11" x14ac:dyDescent="0.25">
      <c r="A43" s="135">
        <v>61008</v>
      </c>
      <c r="B43" s="136" t="s">
        <v>41</v>
      </c>
      <c r="C43" s="136"/>
      <c r="D43" s="137"/>
      <c r="E43" s="138"/>
    </row>
    <row r="44" spans="1:11" x14ac:dyDescent="0.25">
      <c r="A44" s="135">
        <v>61009</v>
      </c>
      <c r="B44" s="136" t="s">
        <v>42</v>
      </c>
      <c r="C44" s="136"/>
      <c r="D44" s="137"/>
      <c r="E44" s="138"/>
    </row>
    <row r="45" spans="1:11" x14ac:dyDescent="0.25">
      <c r="A45" s="135">
        <v>61010</v>
      </c>
      <c r="B45" s="136" t="s">
        <v>43</v>
      </c>
      <c r="C45" s="136"/>
      <c r="D45" s="137"/>
      <c r="E45" s="138"/>
    </row>
    <row r="46" spans="1:11" x14ac:dyDescent="0.25">
      <c r="A46" s="135">
        <v>61011</v>
      </c>
      <c r="B46" s="136" t="s">
        <v>44</v>
      </c>
      <c r="C46" s="136"/>
      <c r="D46" s="137"/>
      <c r="E46" s="138"/>
    </row>
    <row r="47" spans="1:11" x14ac:dyDescent="0.25">
      <c r="A47" s="135">
        <v>61099</v>
      </c>
      <c r="B47" s="136" t="s">
        <v>45</v>
      </c>
      <c r="C47" s="136"/>
      <c r="D47" s="137"/>
      <c r="E47" s="138"/>
    </row>
    <row r="48" spans="1:11" x14ac:dyDescent="0.25">
      <c r="A48" s="135">
        <v>81001</v>
      </c>
      <c r="B48" s="136" t="s">
        <v>46</v>
      </c>
      <c r="C48" s="136"/>
      <c r="D48" s="137"/>
      <c r="E48" s="138"/>
    </row>
    <row r="49" spans="1:5" x14ac:dyDescent="0.25">
      <c r="A49" s="135">
        <v>81002</v>
      </c>
      <c r="B49" s="136" t="s">
        <v>47</v>
      </c>
      <c r="C49" s="136"/>
      <c r="D49" s="137"/>
      <c r="E49" s="138"/>
    </row>
    <row r="50" spans="1:5" x14ac:dyDescent="0.25">
      <c r="A50" s="135">
        <v>91001</v>
      </c>
      <c r="B50" s="136" t="s">
        <v>48</v>
      </c>
      <c r="C50" s="136"/>
      <c r="D50" s="137"/>
      <c r="E50" s="138"/>
    </row>
    <row r="51" spans="1:5" ht="16.5" thickBot="1" x14ac:dyDescent="0.3">
      <c r="A51" s="174">
        <v>91002</v>
      </c>
      <c r="B51" s="144" t="s">
        <v>49</v>
      </c>
      <c r="C51" s="144"/>
      <c r="D51" s="145"/>
      <c r="E51" s="167"/>
    </row>
    <row r="52" spans="1:5" ht="16.5" thickBot="1" x14ac:dyDescent="0.3">
      <c r="A52" s="175" t="s">
        <v>50</v>
      </c>
      <c r="B52" s="176"/>
      <c r="C52" s="177"/>
      <c r="D52" s="178">
        <f>SUM(D4:D51)</f>
        <v>357130000</v>
      </c>
      <c r="E52" s="179">
        <f>SUM(E4:E51)</f>
        <v>357130000</v>
      </c>
    </row>
    <row r="53" spans="1:5" x14ac:dyDescent="0.25">
      <c r="A53" s="180"/>
    </row>
    <row r="54" spans="1:5" x14ac:dyDescent="0.25">
      <c r="A54" s="180"/>
    </row>
    <row r="55" spans="1:5" x14ac:dyDescent="0.25">
      <c r="A55" s="180"/>
    </row>
    <row r="56" spans="1:5" x14ac:dyDescent="0.25">
      <c r="A56" s="180"/>
      <c r="B56" s="40" t="s">
        <v>136</v>
      </c>
    </row>
    <row r="57" spans="1:5" x14ac:dyDescent="0.25">
      <c r="A57" s="180"/>
    </row>
    <row r="58" spans="1:5" x14ac:dyDescent="0.25">
      <c r="A58" s="180"/>
    </row>
    <row r="59" spans="1:5" x14ac:dyDescent="0.25">
      <c r="A59" s="180"/>
    </row>
    <row r="60" spans="1:5" x14ac:dyDescent="0.25">
      <c r="A60" s="180"/>
    </row>
    <row r="61" spans="1:5" x14ac:dyDescent="0.25">
      <c r="A61" s="180"/>
    </row>
    <row r="62" spans="1:5" x14ac:dyDescent="0.25">
      <c r="A62" s="180"/>
    </row>
    <row r="63" spans="1:5" x14ac:dyDescent="0.25">
      <c r="A63" s="180"/>
    </row>
    <row r="64" spans="1:5" x14ac:dyDescent="0.25">
      <c r="A64" s="180"/>
    </row>
    <row r="65" spans="1:1" x14ac:dyDescent="0.25">
      <c r="A65" s="180"/>
    </row>
    <row r="66" spans="1:1" x14ac:dyDescent="0.25">
      <c r="A66" s="180"/>
    </row>
    <row r="67" spans="1:1" x14ac:dyDescent="0.25">
      <c r="A67" s="180"/>
    </row>
    <row r="68" spans="1:1" x14ac:dyDescent="0.25">
      <c r="A68" s="180"/>
    </row>
    <row r="69" spans="1:1" x14ac:dyDescent="0.25">
      <c r="A69" s="180"/>
    </row>
    <row r="70" spans="1:1" x14ac:dyDescent="0.25">
      <c r="A70" s="180"/>
    </row>
    <row r="71" spans="1:1" x14ac:dyDescent="0.25">
      <c r="A71" s="180"/>
    </row>
    <row r="72" spans="1:1" x14ac:dyDescent="0.25">
      <c r="A72" s="180"/>
    </row>
    <row r="73" spans="1:1" x14ac:dyDescent="0.25">
      <c r="A73" s="180"/>
    </row>
    <row r="74" spans="1:1" x14ac:dyDescent="0.25">
      <c r="A74" s="180"/>
    </row>
    <row r="75" spans="1:1" x14ac:dyDescent="0.25">
      <c r="A75" s="180"/>
    </row>
    <row r="76" spans="1:1" x14ac:dyDescent="0.25">
      <c r="A76" s="180"/>
    </row>
    <row r="77" spans="1:1" x14ac:dyDescent="0.25">
      <c r="A77" s="180"/>
    </row>
    <row r="78" spans="1:1" x14ac:dyDescent="0.25">
      <c r="A78" s="180"/>
    </row>
    <row r="79" spans="1:1" x14ac:dyDescent="0.25">
      <c r="A79" s="180"/>
    </row>
    <row r="80" spans="1:1" x14ac:dyDescent="0.25">
      <c r="A80" s="180"/>
    </row>
    <row r="81" spans="1:1" x14ac:dyDescent="0.25">
      <c r="A81" s="180"/>
    </row>
    <row r="82" spans="1:1" x14ac:dyDescent="0.25">
      <c r="A82" s="180"/>
    </row>
    <row r="83" spans="1:1" x14ac:dyDescent="0.25">
      <c r="A83" s="180"/>
    </row>
    <row r="84" spans="1:1" x14ac:dyDescent="0.25">
      <c r="A84" s="180"/>
    </row>
    <row r="85" spans="1:1" x14ac:dyDescent="0.25">
      <c r="A85" s="180"/>
    </row>
    <row r="86" spans="1:1" x14ac:dyDescent="0.25">
      <c r="A86" s="180"/>
    </row>
    <row r="87" spans="1:1" x14ac:dyDescent="0.25">
      <c r="A87" s="180"/>
    </row>
    <row r="88" spans="1:1" x14ac:dyDescent="0.25">
      <c r="A88" s="180"/>
    </row>
    <row r="89" spans="1:1" x14ac:dyDescent="0.25">
      <c r="A89" s="180"/>
    </row>
    <row r="90" spans="1:1" x14ac:dyDescent="0.25">
      <c r="A90" s="180"/>
    </row>
    <row r="91" spans="1:1" x14ac:dyDescent="0.25">
      <c r="A91" s="180"/>
    </row>
    <row r="92" spans="1:1" x14ac:dyDescent="0.25">
      <c r="A92" s="180"/>
    </row>
    <row r="93" spans="1:1" x14ac:dyDescent="0.25">
      <c r="A93" s="180"/>
    </row>
    <row r="94" spans="1:1" x14ac:dyDescent="0.25">
      <c r="A94" s="180"/>
    </row>
    <row r="95" spans="1:1" x14ac:dyDescent="0.25">
      <c r="A95" s="180"/>
    </row>
    <row r="96" spans="1:1" x14ac:dyDescent="0.25">
      <c r="A96" s="180"/>
    </row>
    <row r="97" spans="1:1" x14ac:dyDescent="0.25">
      <c r="A97" s="180"/>
    </row>
    <row r="98" spans="1:1" x14ac:dyDescent="0.25">
      <c r="A98" s="180"/>
    </row>
    <row r="99" spans="1:1" x14ac:dyDescent="0.25">
      <c r="A99" s="180"/>
    </row>
    <row r="100" spans="1:1" x14ac:dyDescent="0.25">
      <c r="A100" s="180"/>
    </row>
    <row r="101" spans="1:1" x14ac:dyDescent="0.25">
      <c r="A101" s="180"/>
    </row>
    <row r="102" spans="1:1" x14ac:dyDescent="0.25">
      <c r="A102" s="180"/>
    </row>
    <row r="103" spans="1:1" x14ac:dyDescent="0.25">
      <c r="A103" s="180"/>
    </row>
    <row r="104" spans="1:1" x14ac:dyDescent="0.25">
      <c r="A104" s="180"/>
    </row>
    <row r="105" spans="1:1" x14ac:dyDescent="0.25">
      <c r="A105" s="180"/>
    </row>
    <row r="106" spans="1:1" x14ac:dyDescent="0.25">
      <c r="A106" s="180"/>
    </row>
    <row r="107" spans="1:1" x14ac:dyDescent="0.25">
      <c r="A107" s="180"/>
    </row>
    <row r="108" spans="1:1" x14ac:dyDescent="0.25">
      <c r="A108" s="180"/>
    </row>
    <row r="109" spans="1:1" x14ac:dyDescent="0.25">
      <c r="A109" s="180"/>
    </row>
    <row r="110" spans="1:1" x14ac:dyDescent="0.25">
      <c r="A110" s="180"/>
    </row>
    <row r="111" spans="1:1" x14ac:dyDescent="0.25">
      <c r="A111" s="180"/>
    </row>
    <row r="112" spans="1:1" x14ac:dyDescent="0.25">
      <c r="A112" s="180"/>
    </row>
    <row r="113" spans="1:1" x14ac:dyDescent="0.25">
      <c r="A113" s="180"/>
    </row>
    <row r="114" spans="1:1" x14ac:dyDescent="0.25">
      <c r="A114" s="180"/>
    </row>
    <row r="115" spans="1:1" x14ac:dyDescent="0.25">
      <c r="A115" s="180"/>
    </row>
    <row r="116" spans="1:1" x14ac:dyDescent="0.25">
      <c r="A116" s="180"/>
    </row>
    <row r="117" spans="1:1" x14ac:dyDescent="0.25">
      <c r="A117" s="180"/>
    </row>
    <row r="118" spans="1:1" x14ac:dyDescent="0.25">
      <c r="A118" s="180"/>
    </row>
    <row r="119" spans="1:1" x14ac:dyDescent="0.25">
      <c r="A119" s="180"/>
    </row>
    <row r="120" spans="1:1" x14ac:dyDescent="0.25">
      <c r="A120" s="180"/>
    </row>
    <row r="121" spans="1:1" x14ac:dyDescent="0.25">
      <c r="A121" s="180"/>
    </row>
    <row r="122" spans="1:1" x14ac:dyDescent="0.25">
      <c r="A122" s="180"/>
    </row>
    <row r="123" spans="1:1" x14ac:dyDescent="0.25">
      <c r="A123" s="180"/>
    </row>
    <row r="124" spans="1:1" x14ac:dyDescent="0.25">
      <c r="A124" s="180"/>
    </row>
    <row r="125" spans="1:1" x14ac:dyDescent="0.25">
      <c r="A125" s="180"/>
    </row>
    <row r="126" spans="1:1" x14ac:dyDescent="0.25">
      <c r="A126" s="180"/>
    </row>
    <row r="127" spans="1:1" x14ac:dyDescent="0.25">
      <c r="A127" s="180"/>
    </row>
    <row r="128" spans="1:1" x14ac:dyDescent="0.25">
      <c r="A128" s="180"/>
    </row>
    <row r="129" spans="1:1" x14ac:dyDescent="0.25">
      <c r="A129" s="180"/>
    </row>
    <row r="130" spans="1:1" x14ac:dyDescent="0.25">
      <c r="A130" s="180"/>
    </row>
    <row r="131" spans="1:1" x14ac:dyDescent="0.25">
      <c r="A131" s="180"/>
    </row>
    <row r="132" spans="1:1" x14ac:dyDescent="0.25">
      <c r="A132" s="180"/>
    </row>
    <row r="133" spans="1:1" x14ac:dyDescent="0.25">
      <c r="A133" s="180"/>
    </row>
    <row r="134" spans="1:1" x14ac:dyDescent="0.25">
      <c r="A134" s="180"/>
    </row>
    <row r="135" spans="1:1" x14ac:dyDescent="0.25">
      <c r="A135" s="180"/>
    </row>
    <row r="136" spans="1:1" x14ac:dyDescent="0.25">
      <c r="A136" s="180"/>
    </row>
    <row r="137" spans="1:1" x14ac:dyDescent="0.25">
      <c r="A137" s="180"/>
    </row>
    <row r="138" spans="1:1" x14ac:dyDescent="0.25">
      <c r="A138" s="180"/>
    </row>
    <row r="139" spans="1:1" x14ac:dyDescent="0.25">
      <c r="A139" s="180"/>
    </row>
    <row r="140" spans="1:1" x14ac:dyDescent="0.25">
      <c r="A140" s="180"/>
    </row>
    <row r="141" spans="1:1" x14ac:dyDescent="0.25">
      <c r="A141" s="180"/>
    </row>
    <row r="142" spans="1:1" x14ac:dyDescent="0.25">
      <c r="A142" s="180"/>
    </row>
    <row r="143" spans="1:1" x14ac:dyDescent="0.25">
      <c r="A143" s="180"/>
    </row>
    <row r="144" spans="1:1" x14ac:dyDescent="0.25">
      <c r="A144" s="180"/>
    </row>
    <row r="145" spans="1:1" x14ac:dyDescent="0.25">
      <c r="A145" s="180"/>
    </row>
    <row r="146" spans="1:1" x14ac:dyDescent="0.25">
      <c r="A146" s="180"/>
    </row>
  </sheetData>
  <mergeCells count="11">
    <mergeCell ref="A1:E2"/>
    <mergeCell ref="A52:B52"/>
    <mergeCell ref="G3:J3"/>
    <mergeCell ref="G10:H10"/>
    <mergeCell ref="G12:J12"/>
    <mergeCell ref="G17:H17"/>
    <mergeCell ref="G19:K19"/>
    <mergeCell ref="G21:K21"/>
    <mergeCell ref="G33:J33"/>
    <mergeCell ref="G29:K29"/>
    <mergeCell ref="G26:K26"/>
  </mergeCells>
  <phoneticPr fontId="2" type="noConversion"/>
  <pageMargins left="0.7" right="0.7" top="0.75" bottom="0.75" header="0.3" footer="0.3"/>
  <pageSetup orientation="portrait" horizontalDpi="300" verticalDpi="300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199C4EE-E998-4A60-B0C2-0DB8B20B9773}">
  <dimension ref="A2:H173"/>
  <sheetViews>
    <sheetView topLeftCell="A157" workbookViewId="0">
      <selection activeCell="K9" sqref="K9"/>
    </sheetView>
  </sheetViews>
  <sheetFormatPr defaultRowHeight="15" x14ac:dyDescent="0.25"/>
  <cols>
    <col min="1" max="1" width="10.7109375" bestFit="1" customWidth="1"/>
    <col min="2" max="2" width="14.28515625" bestFit="1" customWidth="1"/>
    <col min="3" max="3" width="28.42578125" bestFit="1" customWidth="1"/>
    <col min="5" max="5" width="12.5703125" bestFit="1" customWidth="1"/>
    <col min="6" max="6" width="12.42578125" bestFit="1" customWidth="1"/>
    <col min="7" max="7" width="13.5703125" bestFit="1" customWidth="1"/>
    <col min="8" max="8" width="12.42578125" bestFit="1" customWidth="1"/>
  </cols>
  <sheetData>
    <row r="2" spans="1:8" ht="15.75" thickBot="1" x14ac:dyDescent="0.3"/>
    <row r="3" spans="1:8" x14ac:dyDescent="0.25">
      <c r="A3" s="79" t="s">
        <v>145</v>
      </c>
      <c r="B3" s="80"/>
      <c r="C3" s="25">
        <v>11101</v>
      </c>
      <c r="D3" s="16"/>
      <c r="E3" s="16"/>
      <c r="F3" s="16"/>
      <c r="G3" s="16"/>
      <c r="H3" s="17"/>
    </row>
    <row r="4" spans="1:8" ht="15.75" thickBot="1" x14ac:dyDescent="0.3">
      <c r="A4" s="81" t="s">
        <v>146</v>
      </c>
      <c r="B4" s="82"/>
      <c r="C4" s="29" t="str">
        <f>VLOOKUP(C3,'Master Akun'!$A$4:$E$52,2,FALSE)</f>
        <v>Kas Ditangan</v>
      </c>
      <c r="D4" s="29"/>
      <c r="E4" s="29"/>
      <c r="F4" s="29"/>
      <c r="G4" s="29"/>
      <c r="H4" s="18"/>
    </row>
    <row r="5" spans="1:8" x14ac:dyDescent="0.25">
      <c r="A5" s="83" t="s">
        <v>106</v>
      </c>
      <c r="B5" s="85" t="s">
        <v>107</v>
      </c>
      <c r="C5" s="87" t="s">
        <v>55</v>
      </c>
      <c r="D5" s="87" t="s">
        <v>2</v>
      </c>
      <c r="E5" s="87" t="s">
        <v>108</v>
      </c>
      <c r="F5" s="87" t="s">
        <v>4</v>
      </c>
      <c r="G5" s="89" t="s">
        <v>147</v>
      </c>
      <c r="H5" s="90"/>
    </row>
    <row r="6" spans="1:8" ht="15.75" thickBot="1" x14ac:dyDescent="0.3">
      <c r="A6" s="121"/>
      <c r="B6" s="122"/>
      <c r="C6" s="123"/>
      <c r="D6" s="123"/>
      <c r="E6" s="123"/>
      <c r="F6" s="123"/>
      <c r="G6" s="19" t="s">
        <v>108</v>
      </c>
      <c r="H6" s="20" t="s">
        <v>4</v>
      </c>
    </row>
    <row r="7" spans="1:8" x14ac:dyDescent="0.25">
      <c r="A7" s="21"/>
      <c r="B7" s="11"/>
      <c r="C7" s="11" t="s">
        <v>148</v>
      </c>
      <c r="D7" s="11"/>
      <c r="E7" s="11"/>
      <c r="F7" s="11"/>
      <c r="G7" s="11">
        <f>VLOOKUP(C3,'Master Akun'!$A$4:$E$51,4,FALSE)</f>
        <v>2500000</v>
      </c>
      <c r="H7" s="10"/>
    </row>
    <row r="8" spans="1:8" x14ac:dyDescent="0.25">
      <c r="A8" s="22">
        <v>44199</v>
      </c>
      <c r="B8" s="2" t="s">
        <v>116</v>
      </c>
      <c r="C8" s="2" t="s">
        <v>149</v>
      </c>
      <c r="D8" s="2"/>
      <c r="E8" s="2">
        <f ca="1">SUMIF('Jurnal Umum'!B11:G17,BB!C3,'Jurnal Umum'!F11:F17)</f>
        <v>24956250</v>
      </c>
      <c r="F8" s="2"/>
      <c r="G8" s="2">
        <f t="shared" ref="G8" si="0">G7-F8</f>
        <v>2500000</v>
      </c>
      <c r="H8" s="6"/>
    </row>
    <row r="9" spans="1:8" x14ac:dyDescent="0.25">
      <c r="A9" s="22">
        <v>44207</v>
      </c>
      <c r="B9" s="2" t="s">
        <v>122</v>
      </c>
      <c r="C9" s="2" t="s">
        <v>32</v>
      </c>
      <c r="D9" s="2"/>
      <c r="E9" s="29"/>
      <c r="F9" s="2">
        <f ca="1">SUMIF('Jurnal Umum'!B41:G45,BB!C3,'Jurnal Umum'!G41:G45)</f>
        <v>412500</v>
      </c>
      <c r="G9" s="2"/>
      <c r="H9" s="6"/>
    </row>
    <row r="10" spans="1:8" x14ac:dyDescent="0.25">
      <c r="A10" s="22">
        <v>44225</v>
      </c>
      <c r="B10" s="2" t="s">
        <v>137</v>
      </c>
      <c r="C10" s="2" t="s">
        <v>151</v>
      </c>
      <c r="D10" s="2"/>
      <c r="E10" s="2">
        <f ca="1">SUMIF('Jurnal Umum'!B91:G94,BB!C3,'Jurnal Umum'!F91:F94)</f>
        <v>5500000</v>
      </c>
      <c r="F10" s="2"/>
      <c r="G10" s="2"/>
      <c r="H10" s="6"/>
    </row>
    <row r="11" spans="1:8" ht="15.75" thickBot="1" x14ac:dyDescent="0.3">
      <c r="A11" s="23">
        <v>44227</v>
      </c>
      <c r="B11" s="13" t="s">
        <v>141</v>
      </c>
      <c r="C11" s="13" t="s">
        <v>150</v>
      </c>
      <c r="D11" s="13"/>
      <c r="E11" s="13">
        <f ca="1">SUMIF('Jurnal Umum'!B102:G103,BB!C3,'Jurnal Umum'!F102:F103)</f>
        <v>500000</v>
      </c>
      <c r="F11" s="13"/>
      <c r="G11" s="13"/>
      <c r="H11" s="24"/>
    </row>
    <row r="12" spans="1:8" x14ac:dyDescent="0.25">
      <c r="A12" s="28"/>
      <c r="B12" s="29"/>
      <c r="C12" s="29"/>
      <c r="D12" s="29"/>
      <c r="E12" s="29"/>
      <c r="F12" s="29"/>
      <c r="G12" s="29"/>
      <c r="H12" s="29"/>
    </row>
    <row r="13" spans="1:8" x14ac:dyDescent="0.25">
      <c r="A13" s="28"/>
      <c r="B13" s="29"/>
      <c r="C13" s="29"/>
      <c r="D13" s="29"/>
      <c r="E13" s="29"/>
      <c r="F13" s="29"/>
      <c r="G13" s="29"/>
      <c r="H13" s="29"/>
    </row>
    <row r="14" spans="1:8" ht="15.75" thickBot="1" x14ac:dyDescent="0.3">
      <c r="A14" s="28"/>
      <c r="B14" s="29"/>
      <c r="C14" s="29"/>
      <c r="D14" s="29"/>
      <c r="E14" s="29"/>
      <c r="F14" s="29"/>
      <c r="G14" s="29"/>
      <c r="H14" s="29"/>
    </row>
    <row r="15" spans="1:8" x14ac:dyDescent="0.25">
      <c r="A15" s="79" t="s">
        <v>145</v>
      </c>
      <c r="B15" s="80"/>
      <c r="C15" s="25">
        <v>11102</v>
      </c>
      <c r="D15" s="16"/>
      <c r="E15" s="16"/>
      <c r="F15" s="16"/>
      <c r="G15" s="16"/>
      <c r="H15" s="17"/>
    </row>
    <row r="16" spans="1:8" ht="15.75" thickBot="1" x14ac:dyDescent="0.3">
      <c r="A16" s="81" t="s">
        <v>146</v>
      </c>
      <c r="B16" s="82"/>
      <c r="C16" s="29" t="str">
        <f>VLOOKUP(C15,'Master Akun'!$A$4:$E$52,2,FALSE)</f>
        <v>Kas Kecil</v>
      </c>
      <c r="D16" s="29"/>
      <c r="E16" s="29"/>
      <c r="F16" s="29"/>
      <c r="G16" s="29"/>
      <c r="H16" s="18"/>
    </row>
    <row r="17" spans="1:8" x14ac:dyDescent="0.25">
      <c r="A17" s="83" t="s">
        <v>106</v>
      </c>
      <c r="B17" s="85" t="s">
        <v>107</v>
      </c>
      <c r="C17" s="87" t="s">
        <v>55</v>
      </c>
      <c r="D17" s="87" t="s">
        <v>2</v>
      </c>
      <c r="E17" s="87" t="s">
        <v>108</v>
      </c>
      <c r="F17" s="87" t="s">
        <v>4</v>
      </c>
      <c r="G17" s="89" t="s">
        <v>147</v>
      </c>
      <c r="H17" s="90"/>
    </row>
    <row r="18" spans="1:8" ht="15.75" thickBot="1" x14ac:dyDescent="0.3">
      <c r="A18" s="121"/>
      <c r="B18" s="122"/>
      <c r="C18" s="123"/>
      <c r="D18" s="123"/>
      <c r="E18" s="123"/>
      <c r="F18" s="123"/>
      <c r="G18" s="19" t="s">
        <v>108</v>
      </c>
      <c r="H18" s="20" t="s">
        <v>4</v>
      </c>
    </row>
    <row r="19" spans="1:8" ht="15.75" thickBot="1" x14ac:dyDescent="0.3">
      <c r="A19" s="33"/>
      <c r="B19" s="26"/>
      <c r="C19" s="26" t="s">
        <v>148</v>
      </c>
      <c r="D19" s="26"/>
      <c r="E19" s="26"/>
      <c r="F19" s="26"/>
      <c r="G19" s="26">
        <f>VLOOKUP(C15,'Master Akun'!$A$4:$E$51,4,FALSE)</f>
        <v>750000</v>
      </c>
      <c r="H19" s="27"/>
    </row>
    <row r="20" spans="1:8" x14ac:dyDescent="0.25">
      <c r="A20" s="29"/>
      <c r="B20" s="29"/>
      <c r="C20" s="29"/>
      <c r="D20" s="29"/>
      <c r="E20" s="29"/>
      <c r="F20" s="29"/>
      <c r="G20" s="29"/>
      <c r="H20" s="29"/>
    </row>
    <row r="21" spans="1:8" x14ac:dyDescent="0.25">
      <c r="A21" s="29"/>
      <c r="B21" s="29"/>
      <c r="C21" s="29"/>
      <c r="D21" s="29"/>
      <c r="E21" s="29"/>
      <c r="F21" s="29"/>
      <c r="G21" s="29"/>
      <c r="H21" s="29"/>
    </row>
    <row r="22" spans="1:8" ht="15.75" thickBot="1" x14ac:dyDescent="0.3">
      <c r="A22" s="28"/>
      <c r="B22" s="29"/>
      <c r="C22" s="29"/>
      <c r="D22" s="29"/>
      <c r="E22" s="29"/>
      <c r="F22" s="29"/>
      <c r="G22" s="29"/>
      <c r="H22" s="29"/>
    </row>
    <row r="23" spans="1:8" x14ac:dyDescent="0.25">
      <c r="A23" s="79" t="s">
        <v>145</v>
      </c>
      <c r="B23" s="80"/>
      <c r="C23" s="25">
        <v>11201</v>
      </c>
      <c r="D23" s="16"/>
      <c r="E23" s="16"/>
      <c r="F23" s="16"/>
      <c r="G23" s="16"/>
      <c r="H23" s="17"/>
    </row>
    <row r="24" spans="1:8" ht="15.75" thickBot="1" x14ac:dyDescent="0.3">
      <c r="A24" s="81" t="s">
        <v>146</v>
      </c>
      <c r="B24" s="82"/>
      <c r="C24" s="29" t="str">
        <f>VLOOKUP(C23,'Master Akun'!$A$4:$E$52,2,FALSE)</f>
        <v>Bank BCA</v>
      </c>
      <c r="D24" s="29"/>
      <c r="E24" s="29"/>
      <c r="F24" s="29"/>
      <c r="G24" s="29"/>
      <c r="H24" s="18"/>
    </row>
    <row r="25" spans="1:8" x14ac:dyDescent="0.25">
      <c r="A25" s="83" t="s">
        <v>106</v>
      </c>
      <c r="B25" s="85" t="s">
        <v>107</v>
      </c>
      <c r="C25" s="87" t="s">
        <v>55</v>
      </c>
      <c r="D25" s="87" t="s">
        <v>2</v>
      </c>
      <c r="E25" s="87" t="s">
        <v>108</v>
      </c>
      <c r="F25" s="87" t="s">
        <v>4</v>
      </c>
      <c r="G25" s="89" t="s">
        <v>147</v>
      </c>
      <c r="H25" s="90"/>
    </row>
    <row r="26" spans="1:8" ht="15.75" thickBot="1" x14ac:dyDescent="0.3">
      <c r="A26" s="121"/>
      <c r="B26" s="122"/>
      <c r="C26" s="123"/>
      <c r="D26" s="123"/>
      <c r="E26" s="123"/>
      <c r="F26" s="123"/>
      <c r="G26" s="19" t="s">
        <v>108</v>
      </c>
      <c r="H26" s="20" t="s">
        <v>4</v>
      </c>
    </row>
    <row r="27" spans="1:8" x14ac:dyDescent="0.25">
      <c r="A27" s="30"/>
      <c r="B27" s="31"/>
      <c r="C27" s="31" t="s">
        <v>148</v>
      </c>
      <c r="D27" s="31"/>
      <c r="E27" s="31"/>
      <c r="F27" s="31"/>
      <c r="G27" s="31">
        <f>VLOOKUP(C23,'Master Akun'!$A$4:$E$51,4,FALSE)</f>
        <v>45000000</v>
      </c>
      <c r="H27" s="32"/>
    </row>
    <row r="28" spans="1:8" x14ac:dyDescent="0.25">
      <c r="A28" s="22">
        <v>44198</v>
      </c>
      <c r="B28" s="1" t="s">
        <v>115</v>
      </c>
      <c r="C28" s="1" t="s">
        <v>152</v>
      </c>
      <c r="D28" s="1"/>
      <c r="E28" s="2"/>
      <c r="F28" s="2">
        <f ca="1">SUMIF('Jurnal Umum'!B9:G10,BB!C23,'Jurnal Umum'!G9:G10)</f>
        <v>24000000</v>
      </c>
      <c r="G28" s="2">
        <f ca="1">G27+E28-F28</f>
        <v>21000000</v>
      </c>
      <c r="H28" s="9"/>
    </row>
    <row r="29" spans="1:8" x14ac:dyDescent="0.25">
      <c r="A29" s="22">
        <v>44200</v>
      </c>
      <c r="B29" s="1" t="s">
        <v>117</v>
      </c>
      <c r="C29" s="1" t="s">
        <v>153</v>
      </c>
      <c r="D29" s="1"/>
      <c r="E29" s="2"/>
      <c r="F29" s="2">
        <f ca="1">SUMIF('Jurnal Umum'!B21:G25,BB!C23,'Jurnal Umum'!G21:G25)</f>
        <v>0</v>
      </c>
      <c r="G29" s="2">
        <f t="shared" ref="G29:G36" ca="1" si="1">G28+E29-F29</f>
        <v>21000000</v>
      </c>
      <c r="H29" s="9"/>
    </row>
    <row r="30" spans="1:8" x14ac:dyDescent="0.25">
      <c r="A30" s="22">
        <v>44203</v>
      </c>
      <c r="B30" s="1" t="s">
        <v>118</v>
      </c>
      <c r="C30" s="1" t="s">
        <v>154</v>
      </c>
      <c r="D30" s="1"/>
      <c r="E30" s="2">
        <f ca="1">SUMIF('Jurnal Umum'!B29:G30,BB!C23,'Jurnal Umum'!F29:F30)</f>
        <v>30000000</v>
      </c>
      <c r="F30" s="2"/>
      <c r="G30" s="2">
        <f t="shared" ca="1" si="1"/>
        <v>51000000</v>
      </c>
      <c r="H30" s="9"/>
    </row>
    <row r="31" spans="1:8" x14ac:dyDescent="0.25">
      <c r="A31" s="22">
        <v>44205</v>
      </c>
      <c r="B31" s="1" t="s">
        <v>119</v>
      </c>
      <c r="C31" s="1" t="s">
        <v>155</v>
      </c>
      <c r="D31" s="1"/>
      <c r="E31" s="2">
        <f ca="1">SUMIF('Jurnal Umum'!B31:G33,C23,'Jurnal Umum'!F31:F33)</f>
        <v>14700000</v>
      </c>
      <c r="F31" s="2"/>
      <c r="G31" s="2">
        <f t="shared" ca="1" si="1"/>
        <v>65700000</v>
      </c>
      <c r="H31" s="9"/>
    </row>
    <row r="32" spans="1:8" x14ac:dyDescent="0.25">
      <c r="A32" s="22">
        <v>44217</v>
      </c>
      <c r="B32" s="1" t="s">
        <v>156</v>
      </c>
      <c r="C32" s="1" t="s">
        <v>157</v>
      </c>
      <c r="D32" s="1"/>
      <c r="E32" s="2"/>
      <c r="F32" s="2">
        <f ca="1">SUMIF('Jurnal Umum'!B51:G52,BB!C23,'Jurnal Umum'!G51:G52)</f>
        <v>11500000</v>
      </c>
      <c r="G32" s="2">
        <f t="shared" ca="1" si="1"/>
        <v>54200000</v>
      </c>
      <c r="H32" s="9"/>
    </row>
    <row r="33" spans="1:8" x14ac:dyDescent="0.25">
      <c r="A33" s="22">
        <v>44223</v>
      </c>
      <c r="B33" s="1" t="s">
        <v>130</v>
      </c>
      <c r="C33" s="1" t="s">
        <v>10</v>
      </c>
      <c r="D33" s="1"/>
      <c r="E33" s="2"/>
      <c r="F33" s="2">
        <f ca="1">SUMIF('Jurnal Umum'!B81:G82,C23,'Jurnal Umum'!G81:G82)</f>
        <v>2500000</v>
      </c>
      <c r="G33" s="2">
        <f t="shared" ca="1" si="1"/>
        <v>51700000</v>
      </c>
      <c r="H33" s="9"/>
    </row>
    <row r="34" spans="1:8" x14ac:dyDescent="0.25">
      <c r="A34" s="22">
        <v>44224</v>
      </c>
      <c r="B34" s="1" t="s">
        <v>132</v>
      </c>
      <c r="C34" s="1" t="s">
        <v>164</v>
      </c>
      <c r="D34" s="1"/>
      <c r="E34" s="2"/>
      <c r="F34" s="2">
        <f ca="1">SUMIF('Jurnal Umum'!B83:G85,C23,'Jurnal Umum'!G83:G85)</f>
        <v>10000000</v>
      </c>
      <c r="G34" s="2">
        <f t="shared" ca="1" si="1"/>
        <v>41700000</v>
      </c>
      <c r="H34" s="9"/>
    </row>
    <row r="35" spans="1:8" x14ac:dyDescent="0.25">
      <c r="A35" s="22">
        <v>44225</v>
      </c>
      <c r="B35" s="1" t="s">
        <v>135</v>
      </c>
      <c r="C35" s="1" t="s">
        <v>165</v>
      </c>
      <c r="D35" s="1"/>
      <c r="E35" s="2"/>
      <c r="F35" s="2">
        <f ca="1">SUMIF('Jurnal Umum'!B86:G90,BB!C23,'Jurnal Umum'!G86:G90)</f>
        <v>1250000</v>
      </c>
      <c r="G35" s="2">
        <f t="shared" ca="1" si="1"/>
        <v>40450000</v>
      </c>
      <c r="H35" s="9"/>
    </row>
    <row r="36" spans="1:8" ht="15.75" thickBot="1" x14ac:dyDescent="0.3">
      <c r="A36" s="23">
        <v>44227</v>
      </c>
      <c r="B36" s="12" t="s">
        <v>142</v>
      </c>
      <c r="C36" s="12" t="s">
        <v>166</v>
      </c>
      <c r="D36" s="12"/>
      <c r="E36" s="13"/>
      <c r="F36" s="13">
        <f ca="1">SUMIF('Jurnal Umum'!B104:G105,C23,'Jurnal Umum'!G104:G105)</f>
        <v>13775000</v>
      </c>
      <c r="G36" s="13">
        <f t="shared" ca="1" si="1"/>
        <v>26675000</v>
      </c>
      <c r="H36" s="14"/>
    </row>
    <row r="38" spans="1:8" ht="15.75" thickBot="1" x14ac:dyDescent="0.3"/>
    <row r="39" spans="1:8" x14ac:dyDescent="0.25">
      <c r="A39" s="79" t="s">
        <v>145</v>
      </c>
      <c r="B39" s="80"/>
      <c r="C39" s="25">
        <v>11202</v>
      </c>
      <c r="D39" s="16"/>
      <c r="E39" s="16"/>
      <c r="F39" s="16"/>
      <c r="G39" s="16"/>
      <c r="H39" s="17"/>
    </row>
    <row r="40" spans="1:8" ht="15.75" thickBot="1" x14ac:dyDescent="0.3">
      <c r="A40" s="81" t="s">
        <v>146</v>
      </c>
      <c r="B40" s="82"/>
      <c r="C40" s="29" t="str">
        <f>VLOOKUP(C39,'Master Akun'!$A$4:$E$52,2,FALSE)</f>
        <v>Bank Mandiri</v>
      </c>
      <c r="D40" s="29"/>
      <c r="E40" s="29"/>
      <c r="F40" s="29"/>
      <c r="G40" s="29"/>
      <c r="H40" s="18"/>
    </row>
    <row r="41" spans="1:8" x14ac:dyDescent="0.25">
      <c r="A41" s="83" t="s">
        <v>106</v>
      </c>
      <c r="B41" s="85" t="s">
        <v>107</v>
      </c>
      <c r="C41" s="87" t="s">
        <v>55</v>
      </c>
      <c r="D41" s="87" t="s">
        <v>2</v>
      </c>
      <c r="E41" s="87" t="s">
        <v>108</v>
      </c>
      <c r="F41" s="87" t="s">
        <v>4</v>
      </c>
      <c r="G41" s="89" t="s">
        <v>147</v>
      </c>
      <c r="H41" s="90"/>
    </row>
    <row r="42" spans="1:8" ht="15.75" thickBot="1" x14ac:dyDescent="0.3">
      <c r="A42" s="84"/>
      <c r="B42" s="86"/>
      <c r="C42" s="88"/>
      <c r="D42" s="88"/>
      <c r="E42" s="88"/>
      <c r="F42" s="88"/>
      <c r="G42" s="34" t="s">
        <v>108</v>
      </c>
      <c r="H42" s="35" t="s">
        <v>4</v>
      </c>
    </row>
    <row r="43" spans="1:8" x14ac:dyDescent="0.25">
      <c r="A43" s="36"/>
      <c r="B43" s="3"/>
      <c r="C43" s="4" t="s">
        <v>148</v>
      </c>
      <c r="D43" s="4"/>
      <c r="E43" s="4"/>
      <c r="F43" s="4"/>
      <c r="G43" s="4">
        <f>VLOOKUP(C39,'Master Akun'!$A$4:$E$51,4,FALSE)</f>
        <v>25000000</v>
      </c>
      <c r="H43" s="5"/>
    </row>
    <row r="44" spans="1:8" x14ac:dyDescent="0.25">
      <c r="A44" s="22">
        <v>44199</v>
      </c>
      <c r="B44" s="1" t="s">
        <v>158</v>
      </c>
      <c r="C44" s="1" t="s">
        <v>159</v>
      </c>
      <c r="D44" s="1"/>
      <c r="E44" s="2">
        <f ca="1">SUMIF('Jurnal Umum'!B18:G20,BB!C39,'Jurnal Umum'!F18:F20)</f>
        <v>14550000</v>
      </c>
      <c r="F44" s="2"/>
      <c r="G44" s="2">
        <f ca="1">G43+E44-F44</f>
        <v>39550000</v>
      </c>
      <c r="H44" s="6"/>
    </row>
    <row r="45" spans="1:8" x14ac:dyDescent="0.25">
      <c r="A45" s="22">
        <v>44203</v>
      </c>
      <c r="B45" s="1" t="s">
        <v>118</v>
      </c>
      <c r="C45" s="1" t="s">
        <v>154</v>
      </c>
      <c r="D45" s="1"/>
      <c r="E45" s="2"/>
      <c r="F45" s="2">
        <f ca="1">SUMIF('Jurnal Umum'!B29:G30,BB!C39,'Jurnal Umum'!G29:G30)</f>
        <v>30000000</v>
      </c>
      <c r="G45" s="2">
        <f t="shared" ref="G45:G52" ca="1" si="2">G44+E45-F45</f>
        <v>9550000</v>
      </c>
      <c r="H45" s="6"/>
    </row>
    <row r="46" spans="1:8" x14ac:dyDescent="0.25">
      <c r="A46" s="22">
        <v>44205</v>
      </c>
      <c r="B46" s="1" t="s">
        <v>120</v>
      </c>
      <c r="C46" s="1" t="s">
        <v>160</v>
      </c>
      <c r="D46" s="1"/>
      <c r="E46" s="2">
        <f ca="1">SUMIF('Jurnal Umum'!B34:G36,BB!C39,'Jurnal Umum'!F34:F36)</f>
        <v>9800000</v>
      </c>
      <c r="F46" s="2"/>
      <c r="G46" s="2">
        <f t="shared" ca="1" si="2"/>
        <v>19350000</v>
      </c>
      <c r="H46" s="6"/>
    </row>
    <row r="47" spans="1:8" x14ac:dyDescent="0.25">
      <c r="A47" s="22">
        <v>44206</v>
      </c>
      <c r="B47" s="1" t="s">
        <v>121</v>
      </c>
      <c r="C47" s="1" t="s">
        <v>161</v>
      </c>
      <c r="D47" s="1"/>
      <c r="E47" s="2"/>
      <c r="F47" s="2">
        <f ca="1">SUMIF('Jurnal Umum'!B37:G40,BB!C39,'Jurnal Umum'!G37:G40)</f>
        <v>2500000</v>
      </c>
      <c r="G47" s="2">
        <f t="shared" ca="1" si="2"/>
        <v>16850000</v>
      </c>
      <c r="H47" s="6"/>
    </row>
    <row r="48" spans="1:8" x14ac:dyDescent="0.25">
      <c r="A48" s="22">
        <v>44209</v>
      </c>
      <c r="B48" s="1" t="s">
        <v>123</v>
      </c>
      <c r="C48" s="1" t="s">
        <v>162</v>
      </c>
      <c r="D48" s="1"/>
      <c r="E48" s="2">
        <f ca="1">SUMIF('Jurnal Umum'!B46:G47,BB!C39,'Jurnal Umum'!F46:F47)</f>
        <v>7500000</v>
      </c>
      <c r="F48" s="2"/>
      <c r="G48" s="2">
        <f t="shared" ca="1" si="2"/>
        <v>24350000</v>
      </c>
      <c r="H48" s="6"/>
    </row>
    <row r="49" spans="1:8" x14ac:dyDescent="0.25">
      <c r="A49" s="22">
        <v>44214</v>
      </c>
      <c r="B49" s="1" t="s">
        <v>124</v>
      </c>
      <c r="C49" s="1" t="s">
        <v>163</v>
      </c>
      <c r="D49" s="1"/>
      <c r="E49" s="2"/>
      <c r="F49" s="2">
        <f ca="1">SUMIF('Jurnal Umum'!B48:G50,BB!C39,'Jurnal Umum'!G48:G50)</f>
        <v>387500</v>
      </c>
      <c r="G49" s="2">
        <f t="shared" ca="1" si="2"/>
        <v>23962500</v>
      </c>
      <c r="H49" s="6"/>
    </row>
    <row r="50" spans="1:8" x14ac:dyDescent="0.25">
      <c r="A50" s="22">
        <v>44219</v>
      </c>
      <c r="B50" s="1" t="s">
        <v>127</v>
      </c>
      <c r="C50" s="1" t="s">
        <v>167</v>
      </c>
      <c r="D50" s="1"/>
      <c r="E50" s="2">
        <f ca="1">SUMIF('Jurnal Umum'!B60:G67,BB!C39,'Jurnal Umum'!F60:F67)</f>
        <v>10000000</v>
      </c>
      <c r="F50" s="2"/>
      <c r="G50" s="2">
        <f t="shared" ca="1" si="2"/>
        <v>33962500</v>
      </c>
      <c r="H50" s="6"/>
    </row>
    <row r="51" spans="1:8" x14ac:dyDescent="0.25">
      <c r="A51" s="22">
        <v>44222</v>
      </c>
      <c r="B51" s="1" t="s">
        <v>129</v>
      </c>
      <c r="C51" s="1" t="s">
        <v>168</v>
      </c>
      <c r="D51" s="1"/>
      <c r="E51" s="2">
        <f ca="1">SUMIF('Jurnal Umum'!B73:G80,BB!C39,'Jurnal Umum'!F73:F80)</f>
        <v>31559000</v>
      </c>
      <c r="F51" s="2"/>
      <c r="G51" s="2">
        <f t="shared" ca="1" si="2"/>
        <v>65521500</v>
      </c>
      <c r="H51" s="6"/>
    </row>
    <row r="52" spans="1:8" ht="15.75" thickBot="1" x14ac:dyDescent="0.3">
      <c r="A52" s="23">
        <v>44224</v>
      </c>
      <c r="B52" s="12" t="s">
        <v>132</v>
      </c>
      <c r="C52" s="12" t="s">
        <v>164</v>
      </c>
      <c r="D52" s="12"/>
      <c r="E52" s="13"/>
      <c r="F52" s="13">
        <f ca="1">SUMIF('Jurnal Umum'!B83:G85,BB!C39,'Jurnal Umum'!G83:G85)</f>
        <v>12000000</v>
      </c>
      <c r="G52" s="13">
        <f t="shared" ca="1" si="2"/>
        <v>53521500</v>
      </c>
      <c r="H52" s="24"/>
    </row>
    <row r="54" spans="1:8" ht="15.75" thickBot="1" x14ac:dyDescent="0.3"/>
    <row r="55" spans="1:8" x14ac:dyDescent="0.25">
      <c r="A55" s="79" t="s">
        <v>145</v>
      </c>
      <c r="B55" s="80"/>
      <c r="C55" s="25">
        <v>11301</v>
      </c>
      <c r="D55" s="16"/>
      <c r="E55" s="16"/>
      <c r="F55" s="16"/>
      <c r="G55" s="16"/>
      <c r="H55" s="17"/>
    </row>
    <row r="56" spans="1:8" ht="15.75" thickBot="1" x14ac:dyDescent="0.3">
      <c r="A56" s="81" t="s">
        <v>146</v>
      </c>
      <c r="B56" s="82"/>
      <c r="C56" s="29" t="str">
        <f>VLOOKUP(C55,'Master Akun'!$A$4:$E$52,2,FALSE)</f>
        <v>Piutang Usaha</v>
      </c>
      <c r="D56" s="29"/>
      <c r="E56" s="29"/>
      <c r="F56" s="29"/>
      <c r="G56" s="29"/>
      <c r="H56" s="18"/>
    </row>
    <row r="57" spans="1:8" x14ac:dyDescent="0.25">
      <c r="A57" s="83" t="s">
        <v>106</v>
      </c>
      <c r="B57" s="85" t="s">
        <v>107</v>
      </c>
      <c r="C57" s="87" t="s">
        <v>55</v>
      </c>
      <c r="D57" s="87" t="s">
        <v>2</v>
      </c>
      <c r="E57" s="87" t="s">
        <v>108</v>
      </c>
      <c r="F57" s="87" t="s">
        <v>4</v>
      </c>
      <c r="G57" s="89" t="s">
        <v>147</v>
      </c>
      <c r="H57" s="90"/>
    </row>
    <row r="58" spans="1:8" ht="15.75" thickBot="1" x14ac:dyDescent="0.3">
      <c r="A58" s="84"/>
      <c r="B58" s="86"/>
      <c r="C58" s="88"/>
      <c r="D58" s="88"/>
      <c r="E58" s="88"/>
      <c r="F58" s="88"/>
      <c r="G58" s="34" t="s">
        <v>108</v>
      </c>
      <c r="H58" s="35" t="s">
        <v>4</v>
      </c>
    </row>
    <row r="59" spans="1:8" x14ac:dyDescent="0.25">
      <c r="A59" s="36"/>
      <c r="B59" s="3"/>
      <c r="C59" s="4" t="s">
        <v>148</v>
      </c>
      <c r="D59" s="4"/>
      <c r="E59" s="4"/>
      <c r="F59" s="4"/>
      <c r="G59" s="4">
        <f>VLOOKUP(C55,'Master Akun'!$A$4:$E$51,4,FALSE)</f>
        <v>47500000</v>
      </c>
      <c r="H59" s="5"/>
    </row>
    <row r="60" spans="1:8" x14ac:dyDescent="0.25">
      <c r="A60" s="22">
        <v>44199</v>
      </c>
      <c r="B60" s="1" t="s">
        <v>169</v>
      </c>
      <c r="C60" s="1" t="s">
        <v>159</v>
      </c>
      <c r="D60" s="1"/>
      <c r="E60" s="2"/>
      <c r="F60" s="2">
        <f ca="1">SUMIF('Jurnal Umum'!B18:G20,BB!C55,'Jurnal Umum'!G18:G20)</f>
        <v>15000000</v>
      </c>
      <c r="G60" s="2">
        <f ca="1">G59+E60-F60</f>
        <v>32500000</v>
      </c>
      <c r="H60" s="9"/>
    </row>
    <row r="61" spans="1:8" x14ac:dyDescent="0.25">
      <c r="A61" s="22">
        <v>44205</v>
      </c>
      <c r="B61" s="1" t="s">
        <v>119</v>
      </c>
      <c r="C61" s="1" t="s">
        <v>155</v>
      </c>
      <c r="D61" s="1"/>
      <c r="E61" s="2"/>
      <c r="F61" s="2">
        <f ca="1">SUMIF('Jurnal Umum'!B31:G33,BB!C55,'Jurnal Umum'!G31:G33)</f>
        <v>15000000</v>
      </c>
      <c r="G61" s="2">
        <f t="shared" ref="G61:G62" ca="1" si="3">G60+E61-F61</f>
        <v>17500000</v>
      </c>
      <c r="H61" s="9"/>
    </row>
    <row r="62" spans="1:8" ht="15.75" thickBot="1" x14ac:dyDescent="0.3">
      <c r="A62" s="22">
        <v>44205</v>
      </c>
      <c r="B62" s="1" t="s">
        <v>171</v>
      </c>
      <c r="C62" s="1" t="s">
        <v>160</v>
      </c>
      <c r="D62" s="1"/>
      <c r="E62" s="2"/>
      <c r="F62" s="2">
        <f ca="1">SUMIF('Jurnal Umum'!B34:G36,BB!C55,'Jurnal Umum'!G34:G36)</f>
        <v>10000000</v>
      </c>
      <c r="G62" s="2">
        <f t="shared" ca="1" si="3"/>
        <v>7500000</v>
      </c>
      <c r="H62" s="9"/>
    </row>
    <row r="63" spans="1:8" x14ac:dyDescent="0.25">
      <c r="A63" s="22">
        <v>44209</v>
      </c>
      <c r="B63" s="3" t="s">
        <v>123</v>
      </c>
      <c r="C63" s="1" t="s">
        <v>162</v>
      </c>
      <c r="D63" s="1"/>
      <c r="E63" s="2"/>
      <c r="F63" s="2">
        <f ca="1">SUMIF('Jurnal Umum'!B46:G47,BB!C55,'Jurnal Umum'!G46:G47)</f>
        <v>7500000</v>
      </c>
      <c r="G63" s="2">
        <f ca="1">G62+E63-F63</f>
        <v>0</v>
      </c>
      <c r="H63" s="9"/>
    </row>
    <row r="64" spans="1:8" x14ac:dyDescent="0.25">
      <c r="A64" s="22">
        <v>44218</v>
      </c>
      <c r="B64" s="1" t="s">
        <v>126</v>
      </c>
      <c r="C64" s="1" t="s">
        <v>172</v>
      </c>
      <c r="D64" s="1"/>
      <c r="E64" s="2">
        <f ca="1">SUMIF('Jurnal Umum'!B53:G59,BB!C55,'Jurnal Umum'!F53:F59)</f>
        <v>29425000</v>
      </c>
      <c r="F64" s="2"/>
      <c r="G64" s="2">
        <f t="shared" ref="G64:G65" ca="1" si="4">G63+E64-F64</f>
        <v>29425000</v>
      </c>
      <c r="H64" s="9"/>
    </row>
    <row r="65" spans="1:8" ht="15.75" thickBot="1" x14ac:dyDescent="0.3">
      <c r="A65" s="23">
        <v>44219</v>
      </c>
      <c r="B65" s="12" t="s">
        <v>127</v>
      </c>
      <c r="C65" s="12" t="s">
        <v>173</v>
      </c>
      <c r="D65" s="12"/>
      <c r="E65" s="13">
        <f ca="1">SUMIF('Jurnal Umum'!B60:G67,BB!C55,'Jurnal Umum'!F60:F67)</f>
        <v>30535000</v>
      </c>
      <c r="F65" s="13"/>
      <c r="G65" s="2">
        <f t="shared" ca="1" si="4"/>
        <v>59960000</v>
      </c>
      <c r="H65" s="14"/>
    </row>
    <row r="66" spans="1:8" x14ac:dyDescent="0.25">
      <c r="A66" s="28"/>
    </row>
    <row r="67" spans="1:8" ht="15.75" thickBot="1" x14ac:dyDescent="0.3"/>
    <row r="68" spans="1:8" x14ac:dyDescent="0.25">
      <c r="A68" s="79" t="s">
        <v>145</v>
      </c>
      <c r="B68" s="80"/>
      <c r="C68" s="25">
        <v>11302</v>
      </c>
      <c r="D68" s="16"/>
      <c r="E68" s="16"/>
      <c r="F68" s="16"/>
      <c r="G68" s="16"/>
      <c r="H68" s="17"/>
    </row>
    <row r="69" spans="1:8" ht="15.75" thickBot="1" x14ac:dyDescent="0.3">
      <c r="A69" s="81" t="s">
        <v>146</v>
      </c>
      <c r="B69" s="82"/>
      <c r="C69" s="29" t="str">
        <f>VLOOKUP(C68,'Master Akun'!$A$4:$E$52,2,FALSE)</f>
        <v>Cadangan Piutang Tak Tertagih</v>
      </c>
      <c r="D69" s="29"/>
      <c r="E69" s="29"/>
      <c r="F69" s="29"/>
      <c r="G69" s="29"/>
      <c r="H69" s="18"/>
    </row>
    <row r="70" spans="1:8" x14ac:dyDescent="0.25">
      <c r="A70" s="83" t="s">
        <v>106</v>
      </c>
      <c r="B70" s="85" t="s">
        <v>107</v>
      </c>
      <c r="C70" s="87" t="s">
        <v>55</v>
      </c>
      <c r="D70" s="87" t="s">
        <v>2</v>
      </c>
      <c r="E70" s="87" t="s">
        <v>108</v>
      </c>
      <c r="F70" s="87" t="s">
        <v>4</v>
      </c>
      <c r="G70" s="89" t="s">
        <v>147</v>
      </c>
      <c r="H70" s="90"/>
    </row>
    <row r="71" spans="1:8" ht="15.75" thickBot="1" x14ac:dyDescent="0.3">
      <c r="A71" s="84"/>
      <c r="B71" s="86"/>
      <c r="C71" s="88"/>
      <c r="D71" s="88"/>
      <c r="E71" s="88"/>
      <c r="F71" s="88"/>
      <c r="G71" s="34" t="s">
        <v>108</v>
      </c>
      <c r="H71" s="35" t="s">
        <v>4</v>
      </c>
    </row>
    <row r="72" spans="1:8" ht="15.75" thickBot="1" x14ac:dyDescent="0.3">
      <c r="A72" s="37"/>
      <c r="B72" s="7"/>
      <c r="C72" s="8" t="s">
        <v>148</v>
      </c>
      <c r="D72" s="8"/>
      <c r="E72" s="8"/>
      <c r="F72" s="8"/>
      <c r="G72" s="8">
        <f>VLOOKUP(C68,'Master Akun'!$A$4:$E$51,4,FALSE)</f>
        <v>0</v>
      </c>
      <c r="H72" s="15"/>
    </row>
    <row r="74" spans="1:8" ht="15.75" thickBot="1" x14ac:dyDescent="0.3"/>
    <row r="75" spans="1:8" x14ac:dyDescent="0.25">
      <c r="A75" s="79" t="s">
        <v>145</v>
      </c>
      <c r="B75" s="80"/>
      <c r="C75" s="25">
        <v>11401</v>
      </c>
      <c r="D75" s="16"/>
      <c r="E75" s="16"/>
      <c r="F75" s="16"/>
      <c r="G75" s="16"/>
      <c r="H75" s="17"/>
    </row>
    <row r="76" spans="1:8" ht="15.75" thickBot="1" x14ac:dyDescent="0.3">
      <c r="A76" s="81" t="s">
        <v>146</v>
      </c>
      <c r="B76" s="82"/>
      <c r="C76" s="29" t="str">
        <f>VLOOKUP(C75,'Master Akun'!$A$4:$E$52,2,FALSE)</f>
        <v>Piutang Karyawan</v>
      </c>
      <c r="D76" s="29"/>
      <c r="E76" s="29"/>
      <c r="F76" s="29"/>
      <c r="G76" s="29"/>
      <c r="H76" s="18"/>
    </row>
    <row r="77" spans="1:8" x14ac:dyDescent="0.25">
      <c r="A77" s="83" t="s">
        <v>106</v>
      </c>
      <c r="B77" s="85" t="s">
        <v>107</v>
      </c>
      <c r="C77" s="87" t="s">
        <v>55</v>
      </c>
      <c r="D77" s="87" t="s">
        <v>2</v>
      </c>
      <c r="E77" s="87" t="s">
        <v>108</v>
      </c>
      <c r="F77" s="87" t="s">
        <v>4</v>
      </c>
      <c r="G77" s="89" t="s">
        <v>147</v>
      </c>
      <c r="H77" s="90"/>
    </row>
    <row r="78" spans="1:8" ht="15.75" thickBot="1" x14ac:dyDescent="0.3">
      <c r="A78" s="84"/>
      <c r="B78" s="86"/>
      <c r="C78" s="88"/>
      <c r="D78" s="88"/>
      <c r="E78" s="88"/>
      <c r="F78" s="88"/>
      <c r="G78" s="34" t="s">
        <v>108</v>
      </c>
      <c r="H78" s="35" t="s">
        <v>4</v>
      </c>
    </row>
    <row r="79" spans="1:8" x14ac:dyDescent="0.25">
      <c r="A79" s="36"/>
      <c r="B79" s="3"/>
      <c r="C79" s="4" t="s">
        <v>148</v>
      </c>
      <c r="D79" s="4"/>
      <c r="E79" s="4"/>
      <c r="F79" s="4"/>
      <c r="G79" s="4">
        <f>VLOOKUP(C75,'Master Akun'!$A$4:$E$51,4,FALSE)</f>
        <v>0</v>
      </c>
      <c r="H79" s="5"/>
    </row>
    <row r="80" spans="1:8" x14ac:dyDescent="0.25">
      <c r="A80" s="22">
        <v>44223</v>
      </c>
      <c r="B80" s="1" t="s">
        <v>130</v>
      </c>
      <c r="C80" s="1" t="s">
        <v>174</v>
      </c>
      <c r="D80" s="1"/>
      <c r="E80" s="1">
        <f ca="1">SUMIF('Jurnal Umum'!B81:G82,BB!C75,'Jurnal Umum'!F81:F82)</f>
        <v>2500000</v>
      </c>
      <c r="F80" s="1"/>
      <c r="G80" s="2">
        <f ca="1">G79+E80-F80</f>
        <v>2500000</v>
      </c>
      <c r="H80" s="9"/>
    </row>
    <row r="81" spans="1:8" ht="15.75" thickBot="1" x14ac:dyDescent="0.3">
      <c r="A81" s="23">
        <v>44227</v>
      </c>
      <c r="B81" s="12" t="s">
        <v>141</v>
      </c>
      <c r="C81" s="12" t="s">
        <v>175</v>
      </c>
      <c r="D81" s="12"/>
      <c r="E81" s="12"/>
      <c r="F81" s="12">
        <f ca="1">SUMIF('Jurnal Umum'!B102:G103,BB!C75,'Jurnal Umum'!G102:G103)</f>
        <v>500000</v>
      </c>
      <c r="G81" s="13">
        <f ca="1">G80+E81-F81</f>
        <v>2000000</v>
      </c>
      <c r="H81" s="14"/>
    </row>
    <row r="83" spans="1:8" ht="15.75" thickBot="1" x14ac:dyDescent="0.3"/>
    <row r="84" spans="1:8" x14ac:dyDescent="0.25">
      <c r="A84" s="79" t="s">
        <v>145</v>
      </c>
      <c r="B84" s="80"/>
      <c r="C84" s="25">
        <v>11500</v>
      </c>
      <c r="D84" s="16"/>
      <c r="E84" s="16"/>
      <c r="F84" s="16"/>
      <c r="G84" s="16"/>
      <c r="H84" s="17"/>
    </row>
    <row r="85" spans="1:8" ht="15.75" thickBot="1" x14ac:dyDescent="0.3">
      <c r="A85" s="81" t="s">
        <v>146</v>
      </c>
      <c r="B85" s="82"/>
      <c r="C85" s="29" t="str">
        <f>VLOOKUP(C84,'Master Akun'!$A$4:$E$52,2,FALSE)</f>
        <v>Persediaan Barang Dagang</v>
      </c>
      <c r="D85" s="29"/>
      <c r="E85" s="29"/>
      <c r="F85" s="29"/>
      <c r="G85" s="29"/>
      <c r="H85" s="18"/>
    </row>
    <row r="86" spans="1:8" x14ac:dyDescent="0.25">
      <c r="A86" s="83" t="s">
        <v>106</v>
      </c>
      <c r="B86" s="85" t="s">
        <v>107</v>
      </c>
      <c r="C86" s="87" t="s">
        <v>55</v>
      </c>
      <c r="D86" s="87" t="s">
        <v>2</v>
      </c>
      <c r="E86" s="87" t="s">
        <v>108</v>
      </c>
      <c r="F86" s="87" t="s">
        <v>4</v>
      </c>
      <c r="G86" s="89" t="s">
        <v>147</v>
      </c>
      <c r="H86" s="90"/>
    </row>
    <row r="87" spans="1:8" ht="15.75" thickBot="1" x14ac:dyDescent="0.3">
      <c r="A87" s="84"/>
      <c r="B87" s="86"/>
      <c r="C87" s="88"/>
      <c r="D87" s="88"/>
      <c r="E87" s="88"/>
      <c r="F87" s="88"/>
      <c r="G87" s="34" t="s">
        <v>108</v>
      </c>
      <c r="H87" s="35" t="s">
        <v>4</v>
      </c>
    </row>
    <row r="88" spans="1:8" x14ac:dyDescent="0.25">
      <c r="A88" s="36"/>
      <c r="B88" s="3"/>
      <c r="C88" s="4" t="s">
        <v>148</v>
      </c>
      <c r="D88" s="4"/>
      <c r="E88" s="4"/>
      <c r="F88" s="4"/>
      <c r="G88" s="4">
        <f>VLOOKUP(C84,'Master Akun'!$A$4:$E$51,4,FALSE)</f>
        <v>166380000</v>
      </c>
      <c r="H88" s="5"/>
    </row>
    <row r="89" spans="1:8" x14ac:dyDescent="0.25">
      <c r="A89" s="22">
        <v>44199</v>
      </c>
      <c r="B89" s="1" t="s">
        <v>116</v>
      </c>
      <c r="C89" s="1" t="s">
        <v>65</v>
      </c>
      <c r="D89" s="1"/>
      <c r="E89" s="1"/>
      <c r="F89" s="1">
        <f ca="1">SUMIF('Jurnal Umum'!B11:G17,BB!C84,'Jurnal Umum'!G11:G17)</f>
        <v>19350000</v>
      </c>
      <c r="G89" s="2">
        <f ca="1">G88+E89-F89</f>
        <v>147030000</v>
      </c>
      <c r="H89" s="9"/>
    </row>
    <row r="90" spans="1:8" x14ac:dyDescent="0.25">
      <c r="A90" s="22">
        <v>44200</v>
      </c>
      <c r="B90" s="1" t="s">
        <v>117</v>
      </c>
      <c r="C90" s="1" t="s">
        <v>177</v>
      </c>
      <c r="D90" s="1"/>
      <c r="E90" s="1">
        <f ca="1">SUMIF('Jurnal Umum'!B21:G25,BB!C84,'Jurnal Umum'!F21:F25)</f>
        <v>21750000</v>
      </c>
      <c r="F90" s="1"/>
      <c r="G90" s="2">
        <f t="shared" ref="G90:G97" ca="1" si="5">G89+E90-F90</f>
        <v>168780000</v>
      </c>
      <c r="H90" s="9"/>
    </row>
    <row r="91" spans="1:8" x14ac:dyDescent="0.25">
      <c r="A91" s="22">
        <v>44202</v>
      </c>
      <c r="B91" s="1" t="s">
        <v>170</v>
      </c>
      <c r="C91" s="1" t="s">
        <v>178</v>
      </c>
      <c r="D91" s="1"/>
      <c r="E91" s="1"/>
      <c r="F91" s="1">
        <f ca="1">SUMIF('Jurnal Umum'!B26:G28,BB!C84,'Jurnal Umum'!G26:G28)</f>
        <v>325000</v>
      </c>
      <c r="G91" s="2">
        <f t="shared" ca="1" si="5"/>
        <v>168455000</v>
      </c>
      <c r="H91" s="9"/>
    </row>
    <row r="92" spans="1:8" x14ac:dyDescent="0.25">
      <c r="A92" s="22">
        <v>44207</v>
      </c>
      <c r="B92" s="1" t="s">
        <v>122</v>
      </c>
      <c r="C92" s="1" t="s">
        <v>179</v>
      </c>
      <c r="D92" s="1"/>
      <c r="E92" s="1">
        <f ca="1">SUMIF('Jurnal Umum'!B41:G45,BB!C84,'Jurnal Umum'!F41:F45)</f>
        <v>325000</v>
      </c>
      <c r="F92" s="1"/>
      <c r="G92" s="2">
        <f t="shared" ca="1" si="5"/>
        <v>168780000</v>
      </c>
      <c r="H92" s="9"/>
    </row>
    <row r="93" spans="1:8" x14ac:dyDescent="0.25">
      <c r="A93" s="22">
        <v>44218</v>
      </c>
      <c r="B93" s="1" t="s">
        <v>126</v>
      </c>
      <c r="C93" s="1" t="s">
        <v>180</v>
      </c>
      <c r="D93" s="1"/>
      <c r="E93" s="1"/>
      <c r="F93" s="1">
        <f ca="1">SUMIF('Jurnal Umum'!B53:G59,BB!C84,'Jurnal Umum'!G53:G59)</f>
        <v>21940000</v>
      </c>
      <c r="G93" s="2">
        <f t="shared" ca="1" si="5"/>
        <v>146840000</v>
      </c>
      <c r="H93" s="9"/>
    </row>
    <row r="94" spans="1:8" x14ac:dyDescent="0.25">
      <c r="A94" s="22">
        <v>44219</v>
      </c>
      <c r="B94" s="1" t="s">
        <v>127</v>
      </c>
      <c r="C94" s="1" t="s">
        <v>181</v>
      </c>
      <c r="D94" s="1"/>
      <c r="E94" s="1"/>
      <c r="F94" s="1">
        <f ca="1">SUMIF('Jurnal Umum'!B60:G67,BB!C84,'Jurnal Umum'!G60:G67)</f>
        <v>29150000</v>
      </c>
      <c r="G94" s="2">
        <f t="shared" ca="1" si="5"/>
        <v>117690000</v>
      </c>
      <c r="H94" s="9"/>
    </row>
    <row r="95" spans="1:8" x14ac:dyDescent="0.25">
      <c r="A95" s="22">
        <v>44220</v>
      </c>
      <c r="B95" s="1" t="s">
        <v>128</v>
      </c>
      <c r="C95" s="1" t="s">
        <v>182</v>
      </c>
      <c r="D95" s="1"/>
      <c r="E95" s="1">
        <f ca="1">SUMIF('Jurnal Umum'!B68:G72,BB!C84,'Jurnal Umum'!F68:F72)</f>
        <v>1400000</v>
      </c>
      <c r="F95" s="1"/>
      <c r="G95" s="2">
        <f t="shared" ca="1" si="5"/>
        <v>119090000</v>
      </c>
      <c r="H95" s="9"/>
    </row>
    <row r="96" spans="1:8" x14ac:dyDescent="0.25">
      <c r="A96" s="22">
        <v>44222</v>
      </c>
      <c r="B96" s="1" t="s">
        <v>129</v>
      </c>
      <c r="C96" s="1" t="s">
        <v>168</v>
      </c>
      <c r="D96" s="1"/>
      <c r="E96" s="1"/>
      <c r="F96" s="1">
        <f ca="1">SUMIF('Jurnal Umum'!B73:G80,BB!C84,'Jurnal Umum'!G73:G80)</f>
        <v>24250000</v>
      </c>
      <c r="G96" s="2">
        <f t="shared" ca="1" si="5"/>
        <v>94840000</v>
      </c>
      <c r="H96" s="9"/>
    </row>
    <row r="97" spans="1:8" ht="15.75" thickBot="1" x14ac:dyDescent="0.3">
      <c r="A97" s="23">
        <v>44225</v>
      </c>
      <c r="B97" s="12" t="s">
        <v>183</v>
      </c>
      <c r="C97" s="12" t="s">
        <v>65</v>
      </c>
      <c r="D97" s="12"/>
      <c r="E97" s="12"/>
      <c r="F97" s="12">
        <f ca="1">SUMIF('Jurnal Umum'!B95:G101,BB!C84,'Jurnal Umum'!G95:G101)</f>
        <v>23375000</v>
      </c>
      <c r="G97" s="13">
        <f t="shared" ca="1" si="5"/>
        <v>71465000</v>
      </c>
      <c r="H97" s="14"/>
    </row>
    <row r="99" spans="1:8" ht="15.75" thickBot="1" x14ac:dyDescent="0.3"/>
    <row r="100" spans="1:8" x14ac:dyDescent="0.25">
      <c r="A100" s="79" t="s">
        <v>145</v>
      </c>
      <c r="B100" s="80"/>
      <c r="C100" s="25">
        <v>11600</v>
      </c>
      <c r="D100" s="16"/>
      <c r="E100" s="16"/>
      <c r="F100" s="16"/>
      <c r="G100" s="16"/>
      <c r="H100" s="17"/>
    </row>
    <row r="101" spans="1:8" ht="15.75" thickBot="1" x14ac:dyDescent="0.3">
      <c r="A101" s="81" t="s">
        <v>146</v>
      </c>
      <c r="B101" s="82"/>
      <c r="C101" s="29" t="str">
        <f>VLOOKUP(C100,'Master Akun'!$A$4:$E$52,2,FALSE)</f>
        <v>Pembayaran Dimuka</v>
      </c>
      <c r="D101" s="29"/>
      <c r="E101" s="29"/>
      <c r="F101" s="29"/>
      <c r="G101" s="29"/>
      <c r="H101" s="18"/>
    </row>
    <row r="102" spans="1:8" x14ac:dyDescent="0.25">
      <c r="A102" s="83" t="s">
        <v>106</v>
      </c>
      <c r="B102" s="85" t="s">
        <v>107</v>
      </c>
      <c r="C102" s="87" t="s">
        <v>55</v>
      </c>
      <c r="D102" s="87" t="s">
        <v>2</v>
      </c>
      <c r="E102" s="87" t="s">
        <v>108</v>
      </c>
      <c r="F102" s="87" t="s">
        <v>4</v>
      </c>
      <c r="G102" s="89" t="s">
        <v>147</v>
      </c>
      <c r="H102" s="90"/>
    </row>
    <row r="103" spans="1:8" ht="15.75" thickBot="1" x14ac:dyDescent="0.3">
      <c r="A103" s="84"/>
      <c r="B103" s="86"/>
      <c r="C103" s="88"/>
      <c r="D103" s="88"/>
      <c r="E103" s="88"/>
      <c r="F103" s="88"/>
      <c r="G103" s="34" t="s">
        <v>108</v>
      </c>
      <c r="H103" s="35" t="s">
        <v>4</v>
      </c>
    </row>
    <row r="104" spans="1:8" x14ac:dyDescent="0.25">
      <c r="A104" s="36"/>
      <c r="B104" s="3"/>
      <c r="C104" s="4" t="s">
        <v>148</v>
      </c>
      <c r="D104" s="4"/>
      <c r="E104" s="4"/>
      <c r="F104" s="4"/>
      <c r="G104" s="4">
        <f>VLOOKUP(C100,'Master Akun'!$A$4:$E$51,4,FALSE)</f>
        <v>0</v>
      </c>
      <c r="H104" s="5"/>
    </row>
    <row r="107" spans="1:8" ht="15.75" thickBot="1" x14ac:dyDescent="0.3"/>
    <row r="108" spans="1:8" x14ac:dyDescent="0.25">
      <c r="A108" s="79" t="s">
        <v>145</v>
      </c>
      <c r="B108" s="80"/>
      <c r="C108" s="25">
        <v>11601</v>
      </c>
      <c r="D108" s="16"/>
      <c r="E108" s="16"/>
      <c r="F108" s="16"/>
      <c r="G108" s="16"/>
      <c r="H108" s="17"/>
    </row>
    <row r="109" spans="1:8" ht="15.75" thickBot="1" x14ac:dyDescent="0.3">
      <c r="A109" s="81" t="s">
        <v>146</v>
      </c>
      <c r="B109" s="82"/>
      <c r="C109" s="29" t="str">
        <f>VLOOKUP(C108,'Master Akun'!$A$4:$E$52,2,FALSE)</f>
        <v>PPN Masukan</v>
      </c>
      <c r="D109" s="29"/>
      <c r="E109" s="29"/>
      <c r="F109" s="29"/>
      <c r="G109" s="29"/>
      <c r="H109" s="18"/>
    </row>
    <row r="110" spans="1:8" x14ac:dyDescent="0.25">
      <c r="A110" s="83" t="s">
        <v>106</v>
      </c>
      <c r="B110" s="85" t="s">
        <v>107</v>
      </c>
      <c r="C110" s="87" t="s">
        <v>55</v>
      </c>
      <c r="D110" s="87" t="s">
        <v>2</v>
      </c>
      <c r="E110" s="87" t="s">
        <v>108</v>
      </c>
      <c r="F110" s="87" t="s">
        <v>4</v>
      </c>
      <c r="G110" s="89" t="s">
        <v>147</v>
      </c>
      <c r="H110" s="90"/>
    </row>
    <row r="111" spans="1:8" ht="15.75" thickBot="1" x14ac:dyDescent="0.3">
      <c r="A111" s="84"/>
      <c r="B111" s="86"/>
      <c r="C111" s="88"/>
      <c r="D111" s="88"/>
      <c r="E111" s="88"/>
      <c r="F111" s="88"/>
      <c r="G111" s="34" t="s">
        <v>108</v>
      </c>
      <c r="H111" s="35" t="s">
        <v>4</v>
      </c>
    </row>
    <row r="112" spans="1:8" x14ac:dyDescent="0.25">
      <c r="A112" s="36"/>
      <c r="B112" s="3"/>
      <c r="C112" s="4" t="s">
        <v>148</v>
      </c>
      <c r="D112" s="4"/>
      <c r="E112" s="4"/>
      <c r="F112" s="4"/>
      <c r="G112" s="4">
        <f>VLOOKUP(C108,'Master Akun'!$A$4:$E$51,4,FALSE)</f>
        <v>0</v>
      </c>
      <c r="H112" s="5"/>
    </row>
    <row r="113" spans="1:8" x14ac:dyDescent="0.25">
      <c r="A113" s="22">
        <v>44200</v>
      </c>
      <c r="B113" s="1" t="s">
        <v>117</v>
      </c>
      <c r="C113" s="1" t="s">
        <v>177</v>
      </c>
      <c r="D113" s="1"/>
      <c r="E113" s="1">
        <f ca="1">SUMIF('Jurnal Umum'!B21:G25,BB!C108,'Jurnal Umum'!F21:F25)</f>
        <v>2175000</v>
      </c>
      <c r="F113" s="1"/>
      <c r="G113" s="2">
        <f ca="1">G112+E113-F113</f>
        <v>2175000</v>
      </c>
      <c r="H113" s="9"/>
    </row>
    <row r="114" spans="1:8" ht="15.75" thickBot="1" x14ac:dyDescent="0.3">
      <c r="A114" s="23">
        <v>44202</v>
      </c>
      <c r="B114" s="12" t="s">
        <v>170</v>
      </c>
      <c r="C114" s="12" t="s">
        <v>178</v>
      </c>
      <c r="D114" s="12"/>
      <c r="E114" s="12"/>
      <c r="F114" s="12">
        <f ca="1">SUMIF('Jurnal Umum'!B26:G28,BB!C108,'Jurnal Umum'!G26:G28)</f>
        <v>32500</v>
      </c>
      <c r="G114" s="13">
        <f ca="1">G113+E114-F114</f>
        <v>2142500</v>
      </c>
      <c r="H114" s="14"/>
    </row>
    <row r="115" spans="1:8" x14ac:dyDescent="0.25">
      <c r="A115" s="38"/>
    </row>
    <row r="116" spans="1:8" ht="15.75" thickBot="1" x14ac:dyDescent="0.3">
      <c r="A116" s="38"/>
    </row>
    <row r="117" spans="1:8" x14ac:dyDescent="0.25">
      <c r="A117" s="79" t="s">
        <v>145</v>
      </c>
      <c r="B117" s="80"/>
      <c r="C117" s="25">
        <v>11602</v>
      </c>
      <c r="D117" s="16"/>
      <c r="E117" s="16"/>
      <c r="F117" s="16"/>
      <c r="G117" s="16"/>
      <c r="H117" s="17"/>
    </row>
    <row r="118" spans="1:8" ht="15.75" thickBot="1" x14ac:dyDescent="0.3">
      <c r="A118" s="81" t="s">
        <v>146</v>
      </c>
      <c r="B118" s="82"/>
      <c r="C118" s="29" t="str">
        <f>VLOOKUP(C117,'Master Akun'!$A$4:$E$52,2,FALSE)</f>
        <v>Uang Muka Pembelian</v>
      </c>
      <c r="D118" s="29"/>
      <c r="E118" s="29"/>
      <c r="F118" s="29"/>
      <c r="G118" s="29"/>
      <c r="H118" s="18"/>
    </row>
    <row r="119" spans="1:8" x14ac:dyDescent="0.25">
      <c r="A119" s="83" t="s">
        <v>106</v>
      </c>
      <c r="B119" s="85" t="s">
        <v>107</v>
      </c>
      <c r="C119" s="87" t="s">
        <v>55</v>
      </c>
      <c r="D119" s="87" t="s">
        <v>2</v>
      </c>
      <c r="E119" s="87" t="s">
        <v>108</v>
      </c>
      <c r="F119" s="87" t="s">
        <v>4</v>
      </c>
      <c r="G119" s="89" t="s">
        <v>147</v>
      </c>
      <c r="H119" s="90"/>
    </row>
    <row r="120" spans="1:8" ht="15.75" thickBot="1" x14ac:dyDescent="0.3">
      <c r="A120" s="84"/>
      <c r="B120" s="86"/>
      <c r="C120" s="88"/>
      <c r="D120" s="88"/>
      <c r="E120" s="88"/>
      <c r="F120" s="88"/>
      <c r="G120" s="34" t="s">
        <v>108</v>
      </c>
      <c r="H120" s="35" t="s">
        <v>4</v>
      </c>
    </row>
    <row r="121" spans="1:8" x14ac:dyDescent="0.25">
      <c r="A121" s="36"/>
      <c r="B121" s="3"/>
      <c r="C121" s="4" t="s">
        <v>148</v>
      </c>
      <c r="D121" s="4"/>
      <c r="E121" s="4"/>
      <c r="F121" s="4"/>
      <c r="G121" s="4">
        <f>VLOOKUP(C117,'Master Akun'!$A$4:$E$51,4,FALSE)</f>
        <v>0</v>
      </c>
      <c r="H121" s="5"/>
    </row>
    <row r="123" spans="1:8" ht="15.75" thickBot="1" x14ac:dyDescent="0.3"/>
    <row r="124" spans="1:8" x14ac:dyDescent="0.25">
      <c r="A124" s="79" t="s">
        <v>145</v>
      </c>
      <c r="B124" s="80"/>
      <c r="C124" s="25">
        <v>12101</v>
      </c>
      <c r="D124" s="16"/>
      <c r="E124" s="16"/>
      <c r="F124" s="16"/>
      <c r="G124" s="16"/>
      <c r="H124" s="17"/>
    </row>
    <row r="125" spans="1:8" ht="15.75" thickBot="1" x14ac:dyDescent="0.3">
      <c r="A125" s="81" t="s">
        <v>146</v>
      </c>
      <c r="B125" s="82"/>
      <c r="C125" s="29" t="str">
        <f>VLOOKUP(C124,'Master Akun'!$A$4:$E$52,2,FALSE)</f>
        <v>Peralatan Kantor</v>
      </c>
      <c r="D125" s="29"/>
      <c r="E125" s="29"/>
      <c r="F125" s="29"/>
      <c r="G125" s="29"/>
      <c r="H125" s="18"/>
    </row>
    <row r="126" spans="1:8" x14ac:dyDescent="0.25">
      <c r="A126" s="83" t="s">
        <v>106</v>
      </c>
      <c r="B126" s="85" t="s">
        <v>107</v>
      </c>
      <c r="C126" s="87" t="s">
        <v>55</v>
      </c>
      <c r="D126" s="87" t="s">
        <v>2</v>
      </c>
      <c r="E126" s="87" t="s">
        <v>108</v>
      </c>
      <c r="F126" s="87" t="s">
        <v>4</v>
      </c>
      <c r="G126" s="89" t="s">
        <v>147</v>
      </c>
      <c r="H126" s="90"/>
    </row>
    <row r="127" spans="1:8" ht="15.75" thickBot="1" x14ac:dyDescent="0.3">
      <c r="A127" s="84"/>
      <c r="B127" s="86"/>
      <c r="C127" s="88"/>
      <c r="D127" s="88"/>
      <c r="E127" s="88"/>
      <c r="F127" s="88"/>
      <c r="G127" s="34" t="s">
        <v>108</v>
      </c>
      <c r="H127" s="35" t="s">
        <v>4</v>
      </c>
    </row>
    <row r="128" spans="1:8" x14ac:dyDescent="0.25">
      <c r="A128" s="36"/>
      <c r="B128" s="3"/>
      <c r="C128" s="4" t="s">
        <v>148</v>
      </c>
      <c r="D128" s="4"/>
      <c r="E128" s="4"/>
      <c r="F128" s="4"/>
      <c r="G128" s="4">
        <f>VLOOKUP(C124,'Master Akun'!$A$4:$E$51,4,FALSE)</f>
        <v>25000000</v>
      </c>
      <c r="H128" s="5"/>
    </row>
    <row r="130" spans="1:8" ht="15.75" thickBot="1" x14ac:dyDescent="0.3"/>
    <row r="131" spans="1:8" x14ac:dyDescent="0.25">
      <c r="A131" s="79" t="s">
        <v>145</v>
      </c>
      <c r="B131" s="80"/>
      <c r="C131" s="25">
        <v>12102</v>
      </c>
      <c r="D131" s="16"/>
      <c r="E131" s="16"/>
      <c r="F131" s="16"/>
      <c r="G131" s="16"/>
      <c r="H131" s="17"/>
    </row>
    <row r="132" spans="1:8" ht="15.75" thickBot="1" x14ac:dyDescent="0.3">
      <c r="A132" s="81" t="s">
        <v>146</v>
      </c>
      <c r="B132" s="82"/>
      <c r="C132" s="29" t="str">
        <f>VLOOKUP(C131,'Master Akun'!$A$4:$E$52,2,FALSE)</f>
        <v>Akm Peny Peralatan Kantor</v>
      </c>
      <c r="D132" s="29"/>
      <c r="E132" s="29"/>
      <c r="F132" s="29"/>
      <c r="G132" s="29"/>
      <c r="H132" s="18"/>
    </row>
    <row r="133" spans="1:8" x14ac:dyDescent="0.25">
      <c r="A133" s="83" t="s">
        <v>106</v>
      </c>
      <c r="B133" s="85" t="s">
        <v>107</v>
      </c>
      <c r="C133" s="87" t="s">
        <v>55</v>
      </c>
      <c r="D133" s="87" t="s">
        <v>2</v>
      </c>
      <c r="E133" s="87" t="s">
        <v>108</v>
      </c>
      <c r="F133" s="87" t="s">
        <v>4</v>
      </c>
      <c r="G133" s="89" t="s">
        <v>147</v>
      </c>
      <c r="H133" s="90"/>
    </row>
    <row r="134" spans="1:8" ht="15.75" thickBot="1" x14ac:dyDescent="0.3">
      <c r="A134" s="84"/>
      <c r="B134" s="86"/>
      <c r="C134" s="88"/>
      <c r="D134" s="88"/>
      <c r="E134" s="88"/>
      <c r="F134" s="88"/>
      <c r="G134" s="34" t="s">
        <v>108</v>
      </c>
      <c r="H134" s="35" t="s">
        <v>4</v>
      </c>
    </row>
    <row r="135" spans="1:8" x14ac:dyDescent="0.25">
      <c r="A135" s="36"/>
      <c r="B135" s="3"/>
      <c r="C135" s="4" t="s">
        <v>148</v>
      </c>
      <c r="D135" s="4"/>
      <c r="E135" s="4"/>
      <c r="F135" s="4"/>
      <c r="G135" s="4">
        <f>VLOOKUP(C131,'Master Akun'!$A$4:$E$51,4,FALSE)</f>
        <v>0</v>
      </c>
      <c r="H135" s="5"/>
    </row>
    <row r="137" spans="1:8" ht="15.75" thickBot="1" x14ac:dyDescent="0.3"/>
    <row r="138" spans="1:8" x14ac:dyDescent="0.25">
      <c r="A138" s="79" t="s">
        <v>145</v>
      </c>
      <c r="B138" s="80"/>
      <c r="C138" s="25">
        <v>12201</v>
      </c>
      <c r="D138" s="16"/>
      <c r="E138" s="16"/>
      <c r="F138" s="16"/>
      <c r="G138" s="16"/>
      <c r="H138" s="17"/>
    </row>
    <row r="139" spans="1:8" ht="15.75" thickBot="1" x14ac:dyDescent="0.3">
      <c r="A139" s="81" t="s">
        <v>146</v>
      </c>
      <c r="B139" s="82"/>
      <c r="C139" s="29" t="str">
        <f>VLOOKUP(C138,'Master Akun'!$A$4:$E$52,2,FALSE)</f>
        <v>Kendaraan</v>
      </c>
      <c r="D139" s="29"/>
      <c r="E139" s="29"/>
      <c r="F139" s="29"/>
      <c r="G139" s="29"/>
      <c r="H139" s="18"/>
    </row>
    <row r="140" spans="1:8" x14ac:dyDescent="0.25">
      <c r="A140" s="83" t="s">
        <v>106</v>
      </c>
      <c r="B140" s="85" t="s">
        <v>107</v>
      </c>
      <c r="C140" s="87" t="s">
        <v>55</v>
      </c>
      <c r="D140" s="87" t="s">
        <v>2</v>
      </c>
      <c r="E140" s="87" t="s">
        <v>108</v>
      </c>
      <c r="F140" s="87" t="s">
        <v>4</v>
      </c>
      <c r="G140" s="89" t="s">
        <v>147</v>
      </c>
      <c r="H140" s="90"/>
    </row>
    <row r="141" spans="1:8" ht="15.75" thickBot="1" x14ac:dyDescent="0.3">
      <c r="A141" s="84"/>
      <c r="B141" s="86"/>
      <c r="C141" s="88"/>
      <c r="D141" s="88"/>
      <c r="E141" s="88"/>
      <c r="F141" s="88"/>
      <c r="G141" s="34" t="s">
        <v>108</v>
      </c>
      <c r="H141" s="35" t="s">
        <v>4</v>
      </c>
    </row>
    <row r="142" spans="1:8" x14ac:dyDescent="0.25">
      <c r="A142" s="36"/>
      <c r="B142" s="3"/>
      <c r="C142" s="4" t="s">
        <v>148</v>
      </c>
      <c r="D142" s="4"/>
      <c r="E142" s="4"/>
      <c r="F142" s="4"/>
      <c r="G142" s="4">
        <f>VLOOKUP(C138,'Master Akun'!$A$4:$E$51,4,FALSE)</f>
        <v>45000000</v>
      </c>
      <c r="H142" s="5"/>
    </row>
    <row r="143" spans="1:8" x14ac:dyDescent="0.25">
      <c r="A143" s="22">
        <v>44217</v>
      </c>
      <c r="B143" s="1" t="s">
        <v>125</v>
      </c>
      <c r="C143" s="2" t="s">
        <v>184</v>
      </c>
      <c r="D143" s="2"/>
      <c r="E143" s="2">
        <f ca="1">SUMIF('Jurnal Umum'!B51:G52,BB!C138,'Jurnal Umum'!F51:F52)</f>
        <v>11500000</v>
      </c>
      <c r="F143" s="2"/>
      <c r="G143" s="2">
        <f ca="1">G142+E143-F143</f>
        <v>56500000</v>
      </c>
      <c r="H143" s="6"/>
    </row>
    <row r="144" spans="1:8" ht="15.75" thickBot="1" x14ac:dyDescent="0.3">
      <c r="A144" s="23">
        <v>44225</v>
      </c>
      <c r="B144" s="12" t="s">
        <v>137</v>
      </c>
      <c r="C144" s="13" t="s">
        <v>185</v>
      </c>
      <c r="D144" s="13"/>
      <c r="E144" s="13"/>
      <c r="F144" s="13">
        <f ca="1">SUMIF('Jurnal Umum'!B91:G94,BB!C138,'Jurnal Umum'!G91:G94)</f>
        <v>6000000</v>
      </c>
      <c r="G144" s="13">
        <f ca="1">G143+E144-F144</f>
        <v>50500000</v>
      </c>
      <c r="H144" s="24"/>
    </row>
    <row r="146" spans="1:8" ht="15.75" thickBot="1" x14ac:dyDescent="0.3"/>
    <row r="147" spans="1:8" x14ac:dyDescent="0.25">
      <c r="A147" s="79" t="s">
        <v>145</v>
      </c>
      <c r="B147" s="80"/>
      <c r="C147" s="25">
        <v>12202</v>
      </c>
      <c r="D147" s="16"/>
      <c r="E147" s="16"/>
      <c r="F147" s="16"/>
      <c r="G147" s="16"/>
      <c r="H147" s="17"/>
    </row>
    <row r="148" spans="1:8" ht="15.75" thickBot="1" x14ac:dyDescent="0.3">
      <c r="A148" s="81" t="s">
        <v>146</v>
      </c>
      <c r="B148" s="82"/>
      <c r="C148" s="29" t="str">
        <f>VLOOKUP(C147,'Master Akun'!$A$4:$E$52,2,FALSE)</f>
        <v>Akm Peny Kendaraan</v>
      </c>
      <c r="D148" s="29"/>
      <c r="E148" s="29"/>
      <c r="F148" s="29"/>
      <c r="G148" s="29"/>
      <c r="H148" s="18"/>
    </row>
    <row r="149" spans="1:8" x14ac:dyDescent="0.25">
      <c r="A149" s="83" t="s">
        <v>106</v>
      </c>
      <c r="B149" s="85" t="s">
        <v>107</v>
      </c>
      <c r="C149" s="87" t="s">
        <v>55</v>
      </c>
      <c r="D149" s="87" t="s">
        <v>2</v>
      </c>
      <c r="E149" s="87" t="s">
        <v>108</v>
      </c>
      <c r="F149" s="87" t="s">
        <v>4</v>
      </c>
      <c r="G149" s="89" t="s">
        <v>147</v>
      </c>
      <c r="H149" s="90"/>
    </row>
    <row r="150" spans="1:8" ht="15.75" thickBot="1" x14ac:dyDescent="0.3">
      <c r="A150" s="84"/>
      <c r="B150" s="86"/>
      <c r="C150" s="88"/>
      <c r="D150" s="88"/>
      <c r="E150" s="88"/>
      <c r="F150" s="88"/>
      <c r="G150" s="34" t="s">
        <v>108</v>
      </c>
      <c r="H150" s="35" t="s">
        <v>4</v>
      </c>
    </row>
    <row r="151" spans="1:8" x14ac:dyDescent="0.25">
      <c r="A151" s="36"/>
      <c r="B151" s="3"/>
      <c r="C151" s="4" t="s">
        <v>148</v>
      </c>
      <c r="D151" s="4"/>
      <c r="E151" s="4"/>
      <c r="F151" s="4"/>
      <c r="G151" s="4">
        <f>VLOOKUP(C147,'Master Akun'!$A$4:$E$51,4,FALSE)</f>
        <v>0</v>
      </c>
      <c r="H151" s="5"/>
    </row>
    <row r="154" spans="1:8" ht="15.75" thickBot="1" x14ac:dyDescent="0.3"/>
    <row r="155" spans="1:8" x14ac:dyDescent="0.25">
      <c r="A155" s="79" t="s">
        <v>145</v>
      </c>
      <c r="B155" s="80"/>
      <c r="C155" s="25">
        <v>12202</v>
      </c>
      <c r="D155" s="16"/>
      <c r="E155" s="16"/>
      <c r="F155" s="16"/>
      <c r="G155" s="16"/>
      <c r="H155" s="17"/>
    </row>
    <row r="156" spans="1:8" ht="15.75" thickBot="1" x14ac:dyDescent="0.3">
      <c r="A156" s="81" t="s">
        <v>146</v>
      </c>
      <c r="B156" s="82"/>
      <c r="C156" s="29" t="str">
        <f>VLOOKUP(C155,'Master Akun'!$A$4:$E$52,2,FALSE)</f>
        <v>Akm Peny Kendaraan</v>
      </c>
      <c r="D156" s="29"/>
      <c r="E156" s="29"/>
      <c r="F156" s="29"/>
      <c r="G156" s="29"/>
      <c r="H156" s="18"/>
    </row>
    <row r="157" spans="1:8" x14ac:dyDescent="0.25">
      <c r="A157" s="83" t="s">
        <v>106</v>
      </c>
      <c r="B157" s="85" t="s">
        <v>107</v>
      </c>
      <c r="C157" s="87" t="s">
        <v>55</v>
      </c>
      <c r="D157" s="87" t="s">
        <v>2</v>
      </c>
      <c r="E157" s="87" t="s">
        <v>108</v>
      </c>
      <c r="F157" s="87" t="s">
        <v>4</v>
      </c>
      <c r="G157" s="89" t="s">
        <v>147</v>
      </c>
      <c r="H157" s="90"/>
    </row>
    <row r="158" spans="1:8" ht="15.75" thickBot="1" x14ac:dyDescent="0.3">
      <c r="A158" s="84"/>
      <c r="B158" s="86"/>
      <c r="C158" s="88"/>
      <c r="D158" s="88"/>
      <c r="E158" s="88"/>
      <c r="F158" s="88"/>
      <c r="G158" s="34" t="s">
        <v>108</v>
      </c>
      <c r="H158" s="35" t="s">
        <v>4</v>
      </c>
    </row>
    <row r="159" spans="1:8" x14ac:dyDescent="0.25">
      <c r="A159" s="36"/>
      <c r="B159" s="3"/>
      <c r="C159" s="4" t="s">
        <v>148</v>
      </c>
      <c r="D159" s="4"/>
      <c r="E159" s="4"/>
      <c r="F159" s="4"/>
      <c r="G159" s="4">
        <f>VLOOKUP(C155,'Master Akun'!$A$4:$E$51,4,FALSE)</f>
        <v>0</v>
      </c>
      <c r="H159" s="5"/>
    </row>
    <row r="162" spans="1:8" ht="15.75" thickBot="1" x14ac:dyDescent="0.3"/>
    <row r="163" spans="1:8" x14ac:dyDescent="0.25">
      <c r="A163" s="79" t="s">
        <v>145</v>
      </c>
      <c r="B163" s="80"/>
      <c r="C163" s="25">
        <v>21100</v>
      </c>
      <c r="D163" s="16"/>
      <c r="E163" s="16"/>
      <c r="F163" s="16"/>
      <c r="G163" s="16"/>
      <c r="H163" s="17"/>
    </row>
    <row r="164" spans="1:8" ht="15.75" thickBot="1" x14ac:dyDescent="0.3">
      <c r="A164" s="81" t="s">
        <v>146</v>
      </c>
      <c r="B164" s="82"/>
      <c r="C164" s="29" t="str">
        <f>VLOOKUP(C163,'Master Akun'!$A$4:$E$52,2,FALSE)</f>
        <v>Hutang Usaha</v>
      </c>
      <c r="D164" s="29"/>
      <c r="E164" s="29"/>
      <c r="F164" s="29"/>
      <c r="G164" s="29"/>
      <c r="H164" s="18"/>
    </row>
    <row r="165" spans="1:8" x14ac:dyDescent="0.25">
      <c r="A165" s="83" t="s">
        <v>106</v>
      </c>
      <c r="B165" s="85" t="s">
        <v>107</v>
      </c>
      <c r="C165" s="87" t="s">
        <v>55</v>
      </c>
      <c r="D165" s="87" t="s">
        <v>2</v>
      </c>
      <c r="E165" s="87" t="s">
        <v>108</v>
      </c>
      <c r="F165" s="87" t="s">
        <v>4</v>
      </c>
      <c r="G165" s="89" t="s">
        <v>147</v>
      </c>
      <c r="H165" s="90"/>
    </row>
    <row r="166" spans="1:8" ht="15.75" thickBot="1" x14ac:dyDescent="0.3">
      <c r="A166" s="84"/>
      <c r="B166" s="86"/>
      <c r="C166" s="88"/>
      <c r="D166" s="88"/>
      <c r="E166" s="88"/>
      <c r="F166" s="88"/>
      <c r="G166" s="34" t="s">
        <v>108</v>
      </c>
      <c r="H166" s="35" t="s">
        <v>4</v>
      </c>
    </row>
    <row r="167" spans="1:8" ht="15.75" thickBot="1" x14ac:dyDescent="0.3">
      <c r="A167" s="36"/>
      <c r="B167" s="3"/>
      <c r="C167" s="4" t="s">
        <v>148</v>
      </c>
      <c r="D167" s="4"/>
      <c r="E167" s="4"/>
      <c r="F167" s="4"/>
      <c r="G167" s="1"/>
      <c r="H167" s="4">
        <f>VLOOKUP(C163,'Master Akun'!$A$4:$E$51,5,FALSE)</f>
        <v>75000000</v>
      </c>
    </row>
    <row r="168" spans="1:8" ht="15.75" thickBot="1" x14ac:dyDescent="0.3">
      <c r="A168" s="38">
        <v>44198</v>
      </c>
      <c r="B168" s="3" t="s">
        <v>115</v>
      </c>
      <c r="C168" t="s">
        <v>186</v>
      </c>
      <c r="E168">
        <f ca="1">SUMIF('Jurnal Umum'!B9:G10,BB!C163,'Jurnal Umum'!F9:F10)</f>
        <v>24000000</v>
      </c>
    </row>
    <row r="169" spans="1:8" ht="15.75" thickBot="1" x14ac:dyDescent="0.3">
      <c r="A169" s="38">
        <v>44200</v>
      </c>
      <c r="B169" s="3" t="s">
        <v>117</v>
      </c>
      <c r="C169" t="s">
        <v>177</v>
      </c>
      <c r="F169">
        <f ca="1">SUMIF('Jurnal Umum'!B21:G25,BB!C163,'Jurnal Umum'!G21:G25)</f>
        <v>17925000</v>
      </c>
    </row>
    <row r="170" spans="1:8" ht="15.75" thickBot="1" x14ac:dyDescent="0.3">
      <c r="A170" s="38">
        <v>44202</v>
      </c>
      <c r="B170" s="3" t="s">
        <v>170</v>
      </c>
      <c r="C170" t="s">
        <v>178</v>
      </c>
      <c r="E170">
        <f ca="1">SUMIF('Jurnal Umum'!B26:G28,BB!C163,'Jurnal Umum'!F26:F28)</f>
        <v>357500</v>
      </c>
    </row>
    <row r="171" spans="1:8" ht="15.75" thickBot="1" x14ac:dyDescent="0.3">
      <c r="A171" s="38">
        <v>44220</v>
      </c>
      <c r="B171" s="3" t="s">
        <v>128</v>
      </c>
      <c r="C171" t="s">
        <v>32</v>
      </c>
    </row>
    <row r="172" spans="1:8" x14ac:dyDescent="0.25">
      <c r="A172" s="38">
        <v>44224</v>
      </c>
      <c r="B172" s="3" t="s">
        <v>132</v>
      </c>
    </row>
    <row r="173" spans="1:8" x14ac:dyDescent="0.25">
      <c r="A173" t="s">
        <v>131</v>
      </c>
    </row>
  </sheetData>
  <mergeCells count="153">
    <mergeCell ref="A163:B163"/>
    <mergeCell ref="A164:B164"/>
    <mergeCell ref="A165:A166"/>
    <mergeCell ref="B165:B166"/>
    <mergeCell ref="C165:C166"/>
    <mergeCell ref="D165:D166"/>
    <mergeCell ref="E165:E166"/>
    <mergeCell ref="F165:F166"/>
    <mergeCell ref="G165:H165"/>
    <mergeCell ref="A155:B155"/>
    <mergeCell ref="A156:B156"/>
    <mergeCell ref="A157:A158"/>
    <mergeCell ref="B157:B158"/>
    <mergeCell ref="C157:C158"/>
    <mergeCell ref="D157:D158"/>
    <mergeCell ref="E157:E158"/>
    <mergeCell ref="F157:F158"/>
    <mergeCell ref="G157:H157"/>
    <mergeCell ref="A108:B108"/>
    <mergeCell ref="A109:B109"/>
    <mergeCell ref="F110:F111"/>
    <mergeCell ref="G110:H110"/>
    <mergeCell ref="A110:A111"/>
    <mergeCell ref="B110:B111"/>
    <mergeCell ref="C110:C111"/>
    <mergeCell ref="D110:D111"/>
    <mergeCell ref="E110:E111"/>
    <mergeCell ref="G57:H57"/>
    <mergeCell ref="A68:B68"/>
    <mergeCell ref="A69:B69"/>
    <mergeCell ref="A101:B101"/>
    <mergeCell ref="A102:A103"/>
    <mergeCell ref="B102:B103"/>
    <mergeCell ref="C102:C103"/>
    <mergeCell ref="D102:D103"/>
    <mergeCell ref="E102:E103"/>
    <mergeCell ref="F102:F103"/>
    <mergeCell ref="G102:H102"/>
    <mergeCell ref="A100:B100"/>
    <mergeCell ref="F70:F71"/>
    <mergeCell ref="G70:H70"/>
    <mergeCell ref="A75:B75"/>
    <mergeCell ref="A76:B76"/>
    <mergeCell ref="F77:F78"/>
    <mergeCell ref="G77:H77"/>
    <mergeCell ref="A70:A71"/>
    <mergeCell ref="B70:B71"/>
    <mergeCell ref="C70:C71"/>
    <mergeCell ref="D70:D71"/>
    <mergeCell ref="E70:E71"/>
    <mergeCell ref="D86:D87"/>
    <mergeCell ref="A55:B55"/>
    <mergeCell ref="A56:B56"/>
    <mergeCell ref="A57:A58"/>
    <mergeCell ref="B57:B58"/>
    <mergeCell ref="C57:C58"/>
    <mergeCell ref="D57:D58"/>
    <mergeCell ref="E57:E58"/>
    <mergeCell ref="F57:F58"/>
    <mergeCell ref="A39:B39"/>
    <mergeCell ref="A40:B40"/>
    <mergeCell ref="A41:A42"/>
    <mergeCell ref="B41:B42"/>
    <mergeCell ref="C41:C42"/>
    <mergeCell ref="D41:D42"/>
    <mergeCell ref="E41:E42"/>
    <mergeCell ref="F41:F42"/>
    <mergeCell ref="G41:H41"/>
    <mergeCell ref="A16:B16"/>
    <mergeCell ref="D5:D6"/>
    <mergeCell ref="F17:F18"/>
    <mergeCell ref="G17:H17"/>
    <mergeCell ref="A23:B23"/>
    <mergeCell ref="A24:B24"/>
    <mergeCell ref="A25:A26"/>
    <mergeCell ref="B25:B26"/>
    <mergeCell ref="C25:C26"/>
    <mergeCell ref="D25:D26"/>
    <mergeCell ref="E25:E26"/>
    <mergeCell ref="F25:F26"/>
    <mergeCell ref="A17:A18"/>
    <mergeCell ref="B17:B18"/>
    <mergeCell ref="C17:C18"/>
    <mergeCell ref="D17:D18"/>
    <mergeCell ref="E17:E18"/>
    <mergeCell ref="G25:H25"/>
    <mergeCell ref="A3:B3"/>
    <mergeCell ref="A4:B4"/>
    <mergeCell ref="A5:A6"/>
    <mergeCell ref="B5:B6"/>
    <mergeCell ref="C5:C6"/>
    <mergeCell ref="E5:E6"/>
    <mergeCell ref="F5:F6"/>
    <mergeCell ref="G5:H5"/>
    <mergeCell ref="A15:B15"/>
    <mergeCell ref="E86:E87"/>
    <mergeCell ref="F86:F87"/>
    <mergeCell ref="G86:H86"/>
    <mergeCell ref="A77:A78"/>
    <mergeCell ref="B77:B78"/>
    <mergeCell ref="C77:C78"/>
    <mergeCell ref="D77:D78"/>
    <mergeCell ref="E77:E78"/>
    <mergeCell ref="A84:B84"/>
    <mergeCell ref="A85:B85"/>
    <mergeCell ref="A86:A87"/>
    <mergeCell ref="B86:B87"/>
    <mergeCell ref="C86:C87"/>
    <mergeCell ref="D119:D120"/>
    <mergeCell ref="E119:E120"/>
    <mergeCell ref="F119:F120"/>
    <mergeCell ref="G119:H119"/>
    <mergeCell ref="A124:B124"/>
    <mergeCell ref="A117:B117"/>
    <mergeCell ref="A118:B118"/>
    <mergeCell ref="A119:A120"/>
    <mergeCell ref="B119:B120"/>
    <mergeCell ref="C119:C120"/>
    <mergeCell ref="E126:E127"/>
    <mergeCell ref="F126:F127"/>
    <mergeCell ref="G126:H126"/>
    <mergeCell ref="A131:B131"/>
    <mergeCell ref="A132:B132"/>
    <mergeCell ref="A125:B125"/>
    <mergeCell ref="A126:A127"/>
    <mergeCell ref="B126:B127"/>
    <mergeCell ref="C126:C127"/>
    <mergeCell ref="D126:D127"/>
    <mergeCell ref="F133:F134"/>
    <mergeCell ref="G133:H133"/>
    <mergeCell ref="A138:B138"/>
    <mergeCell ref="A139:B139"/>
    <mergeCell ref="A140:A141"/>
    <mergeCell ref="B140:B141"/>
    <mergeCell ref="C140:C141"/>
    <mergeCell ref="D140:D141"/>
    <mergeCell ref="E140:E141"/>
    <mergeCell ref="F140:F141"/>
    <mergeCell ref="G140:H140"/>
    <mergeCell ref="A133:A134"/>
    <mergeCell ref="B133:B134"/>
    <mergeCell ref="C133:C134"/>
    <mergeCell ref="D133:D134"/>
    <mergeCell ref="E133:E134"/>
    <mergeCell ref="D149:D150"/>
    <mergeCell ref="E149:E150"/>
    <mergeCell ref="F149:F150"/>
    <mergeCell ref="G149:H149"/>
    <mergeCell ref="A147:B147"/>
    <mergeCell ref="A148:B148"/>
    <mergeCell ref="A149:A150"/>
    <mergeCell ref="B149:B150"/>
    <mergeCell ref="C149:C150"/>
  </mergeCells>
  <pageMargins left="0.7" right="0.7" top="0.75" bottom="0.75" header="0.3" footer="0.3"/>
  <pageSetup orientation="portrait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BB5FD47-022D-4854-90D1-AB944315C0A5}">
  <dimension ref="A1:P118"/>
  <sheetViews>
    <sheetView showGridLines="0" zoomScale="80" zoomScaleNormal="80" workbookViewId="0">
      <selection activeCell="O118" sqref="O118"/>
    </sheetView>
  </sheetViews>
  <sheetFormatPr defaultRowHeight="15.75" x14ac:dyDescent="0.25"/>
  <cols>
    <col min="1" max="1" width="11.7109375" style="40" bestFit="1" customWidth="1"/>
    <col min="2" max="2" width="9.28515625" style="40" bestFit="1" customWidth="1"/>
    <col min="3" max="3" width="14.28515625" style="40" bestFit="1" customWidth="1"/>
    <col min="4" max="4" width="40" style="40" bestFit="1" customWidth="1"/>
    <col min="5" max="5" width="9.140625" style="40"/>
    <col min="6" max="7" width="15.140625" style="40" bestFit="1" customWidth="1"/>
    <col min="8" max="8" width="9.140625" style="40"/>
    <col min="9" max="10" width="9.28515625" style="40" bestFit="1" customWidth="1"/>
    <col min="11" max="11" width="10.140625" style="40" bestFit="1" customWidth="1"/>
    <col min="12" max="13" width="9.28515625" style="40" bestFit="1" customWidth="1"/>
    <col min="14" max="14" width="10.140625" style="40" bestFit="1" customWidth="1"/>
    <col min="15" max="16" width="12.42578125" style="40" bestFit="1" customWidth="1"/>
    <col min="17" max="16384" width="9.140625" style="40"/>
  </cols>
  <sheetData>
    <row r="1" spans="1:14" x14ac:dyDescent="0.25">
      <c r="A1" s="181" t="s">
        <v>191</v>
      </c>
      <c r="B1" s="181"/>
      <c r="C1" s="181"/>
      <c r="D1" s="181"/>
      <c r="E1" s="181"/>
      <c r="F1" s="181"/>
      <c r="G1" s="181"/>
      <c r="H1" s="181"/>
      <c r="I1" s="181"/>
      <c r="J1" s="181"/>
      <c r="K1" s="181"/>
      <c r="L1" s="181"/>
      <c r="M1" s="181"/>
      <c r="N1" s="181"/>
    </row>
    <row r="2" spans="1:14" x14ac:dyDescent="0.25">
      <c r="A2" s="181" t="s">
        <v>105</v>
      </c>
      <c r="B2" s="181"/>
      <c r="C2" s="181"/>
      <c r="D2" s="181"/>
      <c r="E2" s="181"/>
      <c r="F2" s="181"/>
      <c r="G2" s="181"/>
      <c r="H2" s="181"/>
      <c r="I2" s="181"/>
      <c r="J2" s="181"/>
      <c r="K2" s="181"/>
      <c r="L2" s="181"/>
      <c r="M2" s="181"/>
      <c r="N2" s="181"/>
    </row>
    <row r="3" spans="1:14" x14ac:dyDescent="0.25">
      <c r="A3" s="92"/>
      <c r="B3" s="92"/>
      <c r="C3" s="92"/>
      <c r="D3" s="92"/>
      <c r="E3" s="92"/>
      <c r="F3" s="92"/>
      <c r="G3" s="92"/>
      <c r="I3" s="180"/>
      <c r="L3" s="180"/>
    </row>
    <row r="4" spans="1:14" ht="16.5" thickBot="1" x14ac:dyDescent="0.3">
      <c r="I4" s="180"/>
      <c r="L4" s="180"/>
    </row>
    <row r="5" spans="1:14" x14ac:dyDescent="0.25">
      <c r="A5" s="203" t="s">
        <v>106</v>
      </c>
      <c r="B5" s="205" t="s">
        <v>0</v>
      </c>
      <c r="C5" s="205" t="s">
        <v>107</v>
      </c>
      <c r="D5" s="205" t="s">
        <v>55</v>
      </c>
      <c r="E5" s="205" t="s">
        <v>2</v>
      </c>
      <c r="F5" s="205" t="s">
        <v>108</v>
      </c>
      <c r="G5" s="205" t="s">
        <v>4</v>
      </c>
      <c r="H5" s="205" t="s">
        <v>109</v>
      </c>
      <c r="I5" s="205" t="s">
        <v>110</v>
      </c>
      <c r="J5" s="205"/>
      <c r="K5" s="205"/>
      <c r="L5" s="205" t="s">
        <v>111</v>
      </c>
      <c r="M5" s="205"/>
      <c r="N5" s="206"/>
    </row>
    <row r="6" spans="1:14" ht="16.5" thickBot="1" x14ac:dyDescent="0.3">
      <c r="A6" s="207"/>
      <c r="B6" s="209"/>
      <c r="C6" s="209"/>
      <c r="D6" s="209"/>
      <c r="E6" s="209"/>
      <c r="F6" s="209"/>
      <c r="G6" s="209"/>
      <c r="H6" s="209"/>
      <c r="I6" s="246" t="s">
        <v>112</v>
      </c>
      <c r="J6" s="45" t="s">
        <v>113</v>
      </c>
      <c r="K6" s="45" t="s">
        <v>114</v>
      </c>
      <c r="L6" s="246" t="s">
        <v>112</v>
      </c>
      <c r="M6" s="45" t="s">
        <v>113</v>
      </c>
      <c r="N6" s="247" t="s">
        <v>114</v>
      </c>
    </row>
    <row r="7" spans="1:14" x14ac:dyDescent="0.25">
      <c r="A7" s="248">
        <v>38719</v>
      </c>
      <c r="B7" s="249">
        <v>11602</v>
      </c>
      <c r="C7" s="249" t="s">
        <v>212</v>
      </c>
      <c r="D7" s="250" t="str">
        <f>VLOOKUP(B7,'Master Akun'!$A$4:$E$51,2,FALSE)</f>
        <v>Uang Muka Pembelian</v>
      </c>
      <c r="E7" s="251"/>
      <c r="F7" s="252">
        <v>6000000</v>
      </c>
      <c r="G7" s="252"/>
      <c r="H7" s="251"/>
      <c r="I7" s="253"/>
      <c r="J7" s="254"/>
      <c r="K7" s="254"/>
      <c r="L7" s="253"/>
      <c r="M7" s="254"/>
      <c r="N7" s="255"/>
    </row>
    <row r="8" spans="1:14" ht="16.5" thickBot="1" x14ac:dyDescent="0.3">
      <c r="A8" s="256"/>
      <c r="B8" s="257">
        <v>11201</v>
      </c>
      <c r="C8" s="257"/>
      <c r="D8" s="258" t="str">
        <f>VLOOKUP(B8,'Master Akun'!$A$4:$E$51,2,FALSE)</f>
        <v>Bank BCA</v>
      </c>
      <c r="E8" s="259"/>
      <c r="F8" s="260"/>
      <c r="G8" s="260">
        <v>6000000</v>
      </c>
      <c r="H8" s="259"/>
      <c r="I8" s="261"/>
      <c r="J8" s="262"/>
      <c r="K8" s="262"/>
      <c r="L8" s="261"/>
      <c r="M8" s="262"/>
      <c r="N8" s="263"/>
    </row>
    <row r="9" spans="1:14" x14ac:dyDescent="0.25">
      <c r="A9" s="264">
        <v>38719</v>
      </c>
      <c r="B9" s="265">
        <v>21100</v>
      </c>
      <c r="C9" s="266" t="s">
        <v>115</v>
      </c>
      <c r="D9" s="267" t="str">
        <f>VLOOKUP(B9,'Master Akun'!$A$4:$E$51,2,FALSE)</f>
        <v>Hutang Usaha</v>
      </c>
      <c r="E9" s="266" t="s">
        <v>70</v>
      </c>
      <c r="F9" s="268">
        <v>24000000</v>
      </c>
      <c r="G9" s="268"/>
      <c r="H9" s="266"/>
      <c r="I9" s="266"/>
      <c r="J9" s="266"/>
      <c r="K9" s="266"/>
      <c r="L9" s="266"/>
      <c r="M9" s="266"/>
      <c r="N9" s="269"/>
    </row>
    <row r="10" spans="1:14" ht="16.5" thickBot="1" x14ac:dyDescent="0.3">
      <c r="A10" s="270"/>
      <c r="B10" s="271">
        <v>11201</v>
      </c>
      <c r="C10" s="215"/>
      <c r="D10" s="272" t="str">
        <f>VLOOKUP(B10,'Master Akun'!$A$4:$E$51,2,FALSE)</f>
        <v>Bank BCA</v>
      </c>
      <c r="E10" s="215"/>
      <c r="F10" s="244"/>
      <c r="G10" s="244">
        <v>24000000</v>
      </c>
      <c r="H10" s="215"/>
      <c r="I10" s="215"/>
      <c r="J10" s="215"/>
      <c r="K10" s="215"/>
      <c r="L10" s="215"/>
      <c r="M10" s="215"/>
      <c r="N10" s="216"/>
    </row>
    <row r="11" spans="1:14" x14ac:dyDescent="0.25">
      <c r="A11" s="248">
        <v>38720</v>
      </c>
      <c r="B11" s="273">
        <v>11101</v>
      </c>
      <c r="C11" s="132" t="s">
        <v>116</v>
      </c>
      <c r="D11" s="274" t="str">
        <f>VLOOKUP(B11,'Master Akun'!$A$4:$E$51,2,FALSE)</f>
        <v>Kas Ditangan</v>
      </c>
      <c r="E11" s="132"/>
      <c r="F11" s="133">
        <f>SUM(G13:G14)-F12</f>
        <v>24956250</v>
      </c>
      <c r="G11" s="133"/>
      <c r="H11" s="132"/>
      <c r="I11" s="132"/>
      <c r="J11" s="132"/>
      <c r="K11" s="132"/>
      <c r="L11" s="132"/>
      <c r="M11" s="132"/>
      <c r="N11" s="140"/>
    </row>
    <row r="12" spans="1:14" x14ac:dyDescent="0.25">
      <c r="A12" s="275"/>
      <c r="B12" s="276">
        <v>43000</v>
      </c>
      <c r="C12" s="136"/>
      <c r="D12" s="277" t="str">
        <f>VLOOKUP(B12,'Master Akun'!$A$4:$E$51,2,FALSE)</f>
        <v>Potongan Penjualan</v>
      </c>
      <c r="E12" s="136"/>
      <c r="F12" s="137">
        <f>5%*11250000</f>
        <v>562500</v>
      </c>
      <c r="G12" s="137"/>
      <c r="H12" s="136"/>
      <c r="I12" s="136"/>
      <c r="J12" s="136"/>
      <c r="K12" s="136"/>
      <c r="L12" s="136"/>
      <c r="M12" s="136"/>
      <c r="N12" s="142"/>
    </row>
    <row r="13" spans="1:14" x14ac:dyDescent="0.25">
      <c r="A13" s="275"/>
      <c r="B13" s="276">
        <v>41000</v>
      </c>
      <c r="C13" s="136"/>
      <c r="D13" s="277" t="str">
        <f>VLOOKUP(B13,'Master Akun'!$A$4:$E$51,2,FALSE)</f>
        <v xml:space="preserve">Penjualan </v>
      </c>
      <c r="E13" s="136"/>
      <c r="F13" s="137"/>
      <c r="G13" s="137">
        <f>23250000</f>
        <v>23250000</v>
      </c>
      <c r="H13" s="136"/>
      <c r="I13" s="136"/>
      <c r="J13" s="136"/>
      <c r="K13" s="136"/>
      <c r="L13" s="136"/>
      <c r="M13" s="136"/>
      <c r="N13" s="142"/>
    </row>
    <row r="14" spans="1:14" x14ac:dyDescent="0.25">
      <c r="A14" s="275"/>
      <c r="B14" s="276">
        <v>21403</v>
      </c>
      <c r="C14" s="136"/>
      <c r="D14" s="277" t="str">
        <f>VLOOKUP(B14,'Master Akun'!$A$4:$E$51,2,FALSE)</f>
        <v>PPN Keluaran</v>
      </c>
      <c r="E14" s="136"/>
      <c r="F14" s="137"/>
      <c r="G14" s="137">
        <f>(G13-F12)*10%</f>
        <v>2268750</v>
      </c>
      <c r="H14" s="136"/>
      <c r="I14" s="136"/>
      <c r="J14" s="136"/>
      <c r="K14" s="136"/>
      <c r="L14" s="136"/>
      <c r="M14" s="136"/>
      <c r="N14" s="142"/>
    </row>
    <row r="15" spans="1:14" x14ac:dyDescent="0.25">
      <c r="A15" s="275"/>
      <c r="B15" s="276">
        <v>51000</v>
      </c>
      <c r="C15" s="136"/>
      <c r="D15" s="277" t="str">
        <f>VLOOKUP(B15,'Master Akun'!$A$4:$E$51,2,FALSE)</f>
        <v>Harga Pokok Penjualan</v>
      </c>
      <c r="E15" s="136"/>
      <c r="F15" s="137">
        <f>SUM(G16:G17)</f>
        <v>19350000</v>
      </c>
      <c r="G15" s="137"/>
      <c r="H15" s="136"/>
      <c r="I15" s="136"/>
      <c r="J15" s="136"/>
      <c r="K15" s="136"/>
      <c r="L15" s="136"/>
      <c r="M15" s="136"/>
      <c r="N15" s="142"/>
    </row>
    <row r="16" spans="1:14" x14ac:dyDescent="0.25">
      <c r="A16" s="275"/>
      <c r="B16" s="276">
        <v>11500</v>
      </c>
      <c r="C16" s="136"/>
      <c r="D16" s="277" t="str">
        <f>VLOOKUP(B16,'Master Akun'!$A$4:$E$51,2,FALSE)</f>
        <v>Persediaan Barang Dagang</v>
      </c>
      <c r="E16" s="136"/>
      <c r="F16" s="137"/>
      <c r="G16" s="137">
        <f>N16</f>
        <v>9600000</v>
      </c>
      <c r="H16" s="136" t="s">
        <v>83</v>
      </c>
      <c r="I16" s="136"/>
      <c r="J16" s="136"/>
      <c r="K16" s="136"/>
      <c r="L16" s="136">
        <v>8</v>
      </c>
      <c r="M16" s="136">
        <v>1200000</v>
      </c>
      <c r="N16" s="142">
        <f>L16*M16</f>
        <v>9600000</v>
      </c>
    </row>
    <row r="17" spans="1:14" ht="16.5" thickBot="1" x14ac:dyDescent="0.3">
      <c r="A17" s="270"/>
      <c r="B17" s="271">
        <v>11500</v>
      </c>
      <c r="C17" s="215"/>
      <c r="D17" s="272" t="str">
        <f>VLOOKUP(B17,'Master Akun'!$A$4:$E$51,2,FALSE)</f>
        <v>Persediaan Barang Dagang</v>
      </c>
      <c r="E17" s="215"/>
      <c r="F17" s="244"/>
      <c r="G17" s="244">
        <f>N17</f>
        <v>9750000</v>
      </c>
      <c r="H17" s="215" t="s">
        <v>84</v>
      </c>
      <c r="I17" s="215"/>
      <c r="J17" s="215"/>
      <c r="K17" s="215"/>
      <c r="L17" s="215">
        <v>30</v>
      </c>
      <c r="M17" s="215">
        <v>325000</v>
      </c>
      <c r="N17" s="216">
        <f>L17*M17</f>
        <v>9750000</v>
      </c>
    </row>
    <row r="18" spans="1:14" x14ac:dyDescent="0.25">
      <c r="A18" s="248">
        <v>38720</v>
      </c>
      <c r="B18" s="273">
        <v>11202</v>
      </c>
      <c r="C18" s="132" t="s">
        <v>169</v>
      </c>
      <c r="D18" s="274" t="str">
        <f>VLOOKUP(B18,'Master Akun'!$A$4:$E$51,2,FALSE)</f>
        <v>Bank Mandiri</v>
      </c>
      <c r="E18" s="132"/>
      <c r="F18" s="133">
        <f>G20-F19</f>
        <v>14550000</v>
      </c>
      <c r="G18" s="133"/>
      <c r="H18" s="132"/>
      <c r="I18" s="132"/>
      <c r="J18" s="132"/>
      <c r="K18" s="132"/>
      <c r="L18" s="132"/>
      <c r="M18" s="132"/>
      <c r="N18" s="140"/>
    </row>
    <row r="19" spans="1:14" x14ac:dyDescent="0.25">
      <c r="A19" s="275"/>
      <c r="B19" s="276">
        <v>43000</v>
      </c>
      <c r="C19" s="136"/>
      <c r="D19" s="277" t="str">
        <f>VLOOKUP(B19,'Master Akun'!$A$4:$E$51,2,FALSE)</f>
        <v>Potongan Penjualan</v>
      </c>
      <c r="E19" s="136"/>
      <c r="F19" s="137">
        <f>G20*3%</f>
        <v>450000</v>
      </c>
      <c r="G19" s="137"/>
      <c r="H19" s="136"/>
      <c r="I19" s="136"/>
      <c r="J19" s="136"/>
      <c r="K19" s="136"/>
      <c r="L19" s="136"/>
      <c r="M19" s="136"/>
      <c r="N19" s="142"/>
    </row>
    <row r="20" spans="1:14" ht="16.5" thickBot="1" x14ac:dyDescent="0.3">
      <c r="A20" s="270"/>
      <c r="B20" s="271">
        <v>11301</v>
      </c>
      <c r="C20" s="215"/>
      <c r="D20" s="272" t="str">
        <f>VLOOKUP(B20,'Master Akun'!$A$4:$E$51,2,FALSE)</f>
        <v>Piutang Usaha</v>
      </c>
      <c r="E20" s="215" t="s">
        <v>59</v>
      </c>
      <c r="F20" s="244"/>
      <c r="G20" s="244">
        <v>15000000</v>
      </c>
      <c r="H20" s="215"/>
      <c r="I20" s="215"/>
      <c r="J20" s="215"/>
      <c r="K20" s="215"/>
      <c r="L20" s="215"/>
      <c r="M20" s="215"/>
      <c r="N20" s="216"/>
    </row>
    <row r="21" spans="1:14" x14ac:dyDescent="0.25">
      <c r="A21" s="248">
        <v>38721</v>
      </c>
      <c r="B21" s="273">
        <v>11500</v>
      </c>
      <c r="C21" s="132" t="s">
        <v>117</v>
      </c>
      <c r="D21" s="274" t="str">
        <f>VLOOKUP(B21,'Master Akun'!$A$4:$E$51,2,FALSE)</f>
        <v>Persediaan Barang Dagang</v>
      </c>
      <c r="E21" s="132"/>
      <c r="F21" s="133">
        <f>K21</f>
        <v>12000000</v>
      </c>
      <c r="G21" s="133"/>
      <c r="H21" s="132" t="s">
        <v>83</v>
      </c>
      <c r="I21" s="132">
        <v>10</v>
      </c>
      <c r="J21" s="132">
        <v>1200000</v>
      </c>
      <c r="K21" s="132">
        <f>I21*J21</f>
        <v>12000000</v>
      </c>
      <c r="L21" s="132"/>
      <c r="M21" s="132"/>
      <c r="N21" s="140"/>
    </row>
    <row r="22" spans="1:14" x14ac:dyDescent="0.25">
      <c r="A22" s="275"/>
      <c r="B22" s="276">
        <v>11500</v>
      </c>
      <c r="C22" s="136"/>
      <c r="D22" s="277" t="str">
        <f>VLOOKUP(B22,'Master Akun'!$A$4:$E$51,2,FALSE)</f>
        <v>Persediaan Barang Dagang</v>
      </c>
      <c r="E22" s="136"/>
      <c r="F22" s="137">
        <f>K22</f>
        <v>9750000</v>
      </c>
      <c r="G22" s="137"/>
      <c r="H22" s="136" t="s">
        <v>84</v>
      </c>
      <c r="I22" s="136">
        <v>30</v>
      </c>
      <c r="J22" s="136">
        <v>325000</v>
      </c>
      <c r="K22" s="136">
        <f>I22*J22</f>
        <v>9750000</v>
      </c>
      <c r="L22" s="136"/>
      <c r="M22" s="136"/>
      <c r="N22" s="142"/>
    </row>
    <row r="23" spans="1:14" x14ac:dyDescent="0.25">
      <c r="A23" s="275"/>
      <c r="B23" s="276">
        <v>11601</v>
      </c>
      <c r="C23" s="136"/>
      <c r="D23" s="277" t="str">
        <f>VLOOKUP(B23,'Master Akun'!$A$4:$E$51,2,FALSE)</f>
        <v>PPN Masukan</v>
      </c>
      <c r="E23" s="136"/>
      <c r="F23" s="137">
        <f>SUM(F21:F22)*10%</f>
        <v>2175000</v>
      </c>
      <c r="G23" s="137"/>
      <c r="H23" s="136"/>
      <c r="I23" s="136"/>
      <c r="J23" s="136"/>
      <c r="K23" s="136"/>
      <c r="L23" s="136"/>
      <c r="M23" s="136"/>
      <c r="N23" s="142"/>
    </row>
    <row r="24" spans="1:14" x14ac:dyDescent="0.25">
      <c r="A24" s="275"/>
      <c r="B24" s="276">
        <v>21100</v>
      </c>
      <c r="C24" s="136"/>
      <c r="D24" s="277" t="str">
        <f>VLOOKUP(B24,'Master Akun'!$A$4:$E$51,2,FALSE)</f>
        <v>Hutang Usaha</v>
      </c>
      <c r="E24" s="136" t="s">
        <v>70</v>
      </c>
      <c r="F24" s="137"/>
      <c r="G24" s="137">
        <f>SUM(F21:F23)-G25</f>
        <v>17925000</v>
      </c>
      <c r="H24" s="136"/>
      <c r="I24" s="136"/>
      <c r="J24" s="136"/>
      <c r="K24" s="136"/>
      <c r="L24" s="136"/>
      <c r="M24" s="136"/>
      <c r="N24" s="142"/>
    </row>
    <row r="25" spans="1:14" ht="16.5" thickBot="1" x14ac:dyDescent="0.3">
      <c r="A25" s="270"/>
      <c r="B25" s="271">
        <v>11602</v>
      </c>
      <c r="C25" s="215"/>
      <c r="D25" s="272" t="str">
        <f>VLOOKUP(B25,'Master Akun'!$A$4:$E$51,2,FALSE)</f>
        <v>Uang Muka Pembelian</v>
      </c>
      <c r="E25" s="215"/>
      <c r="F25" s="244"/>
      <c r="G25" s="244">
        <v>6000000</v>
      </c>
      <c r="H25" s="215"/>
      <c r="I25" s="215"/>
      <c r="J25" s="215"/>
      <c r="K25" s="215"/>
      <c r="L25" s="215"/>
      <c r="M25" s="215"/>
      <c r="N25" s="216"/>
    </row>
    <row r="26" spans="1:14" x14ac:dyDescent="0.25">
      <c r="A26" s="248">
        <v>38723</v>
      </c>
      <c r="B26" s="273">
        <v>21100</v>
      </c>
      <c r="C26" s="132" t="s">
        <v>170</v>
      </c>
      <c r="D26" s="274" t="str">
        <f>VLOOKUP(B26,'Master Akun'!$A$4:$E$51,2,FALSE)</f>
        <v>Hutang Usaha</v>
      </c>
      <c r="E26" s="132" t="s">
        <v>70</v>
      </c>
      <c r="F26" s="133">
        <f>SUM(G27:G28)</f>
        <v>357500</v>
      </c>
      <c r="G26" s="133"/>
      <c r="H26" s="132"/>
      <c r="I26" s="132"/>
      <c r="J26" s="132"/>
      <c r="K26" s="132"/>
      <c r="L26" s="132"/>
      <c r="M26" s="132"/>
      <c r="N26" s="140"/>
    </row>
    <row r="27" spans="1:14" x14ac:dyDescent="0.25">
      <c r="A27" s="275"/>
      <c r="B27" s="276">
        <v>11500</v>
      </c>
      <c r="C27" s="136"/>
      <c r="D27" s="277" t="str">
        <f>VLOOKUP(B27,'Master Akun'!$A$4:$E$51,2,FALSE)</f>
        <v>Persediaan Barang Dagang</v>
      </c>
      <c r="E27" s="136"/>
      <c r="F27" s="137"/>
      <c r="G27" s="137">
        <f>N27</f>
        <v>325000</v>
      </c>
      <c r="H27" s="136" t="s">
        <v>84</v>
      </c>
      <c r="I27" s="136"/>
      <c r="J27" s="136"/>
      <c r="K27" s="136"/>
      <c r="L27" s="136">
        <v>1</v>
      </c>
      <c r="M27" s="136">
        <v>325000</v>
      </c>
      <c r="N27" s="142">
        <f>L27*M27</f>
        <v>325000</v>
      </c>
    </row>
    <row r="28" spans="1:14" ht="16.5" thickBot="1" x14ac:dyDescent="0.3">
      <c r="A28" s="270"/>
      <c r="B28" s="271">
        <v>11601</v>
      </c>
      <c r="C28" s="215"/>
      <c r="D28" s="272" t="str">
        <f>VLOOKUP(B28,'Master Akun'!$A$4:$E$51,2,FALSE)</f>
        <v>PPN Masukan</v>
      </c>
      <c r="E28" s="215"/>
      <c r="F28" s="244"/>
      <c r="G28" s="244">
        <f>G27*10%</f>
        <v>32500</v>
      </c>
      <c r="H28" s="215"/>
      <c r="I28" s="215"/>
      <c r="J28" s="215"/>
      <c r="K28" s="215"/>
      <c r="L28" s="215"/>
      <c r="M28" s="215"/>
      <c r="N28" s="216"/>
    </row>
    <row r="29" spans="1:14" x14ac:dyDescent="0.25">
      <c r="A29" s="248">
        <v>38724</v>
      </c>
      <c r="B29" s="273">
        <v>11201</v>
      </c>
      <c r="C29" s="132" t="s">
        <v>118</v>
      </c>
      <c r="D29" s="274" t="str">
        <f>VLOOKUP(B29,'Master Akun'!$A$4:$E$51,2,FALSE)</f>
        <v>Bank BCA</v>
      </c>
      <c r="E29" s="132"/>
      <c r="F29" s="133">
        <v>30000000</v>
      </c>
      <c r="G29" s="133"/>
      <c r="H29" s="132"/>
      <c r="I29" s="132"/>
      <c r="J29" s="132"/>
      <c r="K29" s="132"/>
      <c r="L29" s="132"/>
      <c r="M29" s="132"/>
      <c r="N29" s="140"/>
    </row>
    <row r="30" spans="1:14" ht="16.5" thickBot="1" x14ac:dyDescent="0.3">
      <c r="A30" s="278"/>
      <c r="B30" s="279">
        <v>11202</v>
      </c>
      <c r="C30" s="144"/>
      <c r="D30" s="280" t="str">
        <f>VLOOKUP(B30,'Master Akun'!$A$4:$E$51,2,FALSE)</f>
        <v>Bank Mandiri</v>
      </c>
      <c r="E30" s="144"/>
      <c r="F30" s="145"/>
      <c r="G30" s="145">
        <v>30000000</v>
      </c>
      <c r="H30" s="144"/>
      <c r="I30" s="144"/>
      <c r="J30" s="144"/>
      <c r="K30" s="144"/>
      <c r="L30" s="144"/>
      <c r="M30" s="144"/>
      <c r="N30" s="146"/>
    </row>
    <row r="31" spans="1:14" x14ac:dyDescent="0.25">
      <c r="A31" s="248">
        <v>38726</v>
      </c>
      <c r="B31" s="132">
        <v>11201</v>
      </c>
      <c r="C31" s="132" t="s">
        <v>119</v>
      </c>
      <c r="D31" s="274" t="str">
        <f>VLOOKUP(B31,'Master Akun'!$A$4:$E$51,2,FALSE)</f>
        <v>Bank BCA</v>
      </c>
      <c r="E31" s="132"/>
      <c r="F31" s="133">
        <f>G33-F32</f>
        <v>14700000</v>
      </c>
      <c r="G31" s="133"/>
      <c r="H31" s="132"/>
      <c r="I31" s="132"/>
      <c r="J31" s="132"/>
      <c r="K31" s="132"/>
      <c r="L31" s="132"/>
      <c r="M31" s="132"/>
      <c r="N31" s="140"/>
    </row>
    <row r="32" spans="1:14" x14ac:dyDescent="0.25">
      <c r="A32" s="275"/>
      <c r="B32" s="136">
        <v>43000</v>
      </c>
      <c r="C32" s="136"/>
      <c r="D32" s="277" t="str">
        <f>VLOOKUP(B32,'Master Akun'!$A$4:$E$51,2,FALSE)</f>
        <v>Potongan Penjualan</v>
      </c>
      <c r="E32" s="136"/>
      <c r="F32" s="137">
        <f>2%*G33</f>
        <v>300000</v>
      </c>
      <c r="G32" s="137"/>
      <c r="H32" s="136"/>
      <c r="I32" s="136"/>
      <c r="J32" s="136"/>
      <c r="K32" s="136"/>
      <c r="L32" s="136"/>
      <c r="M32" s="136"/>
      <c r="N32" s="142"/>
    </row>
    <row r="33" spans="1:14" ht="16.5" thickBot="1" x14ac:dyDescent="0.3">
      <c r="A33" s="270"/>
      <c r="B33" s="215">
        <v>11301</v>
      </c>
      <c r="C33" s="215"/>
      <c r="D33" s="272" t="str">
        <f>VLOOKUP(B33,'Master Akun'!$A$4:$E$51,2,FALSE)</f>
        <v>Piutang Usaha</v>
      </c>
      <c r="E33" s="215" t="s">
        <v>57</v>
      </c>
      <c r="F33" s="244"/>
      <c r="G33" s="244">
        <v>15000000</v>
      </c>
      <c r="H33" s="215"/>
      <c r="I33" s="215"/>
      <c r="J33" s="215"/>
      <c r="K33" s="215"/>
      <c r="L33" s="215"/>
      <c r="M33" s="215"/>
      <c r="N33" s="216"/>
    </row>
    <row r="34" spans="1:14" x14ac:dyDescent="0.25">
      <c r="A34" s="248">
        <v>38726</v>
      </c>
      <c r="B34" s="132">
        <v>11202</v>
      </c>
      <c r="C34" s="132" t="s">
        <v>120</v>
      </c>
      <c r="D34" s="274" t="str">
        <f>VLOOKUP(B34,'Master Akun'!$A$4:$E$51,2,FALSE)</f>
        <v>Bank Mandiri</v>
      </c>
      <c r="E34" s="132"/>
      <c r="F34" s="133">
        <f>G36-F35</f>
        <v>9800000</v>
      </c>
      <c r="G34" s="133"/>
      <c r="H34" s="132"/>
      <c r="I34" s="132"/>
      <c r="J34" s="132"/>
      <c r="K34" s="132"/>
      <c r="L34" s="132"/>
      <c r="M34" s="132"/>
      <c r="N34" s="140"/>
    </row>
    <row r="35" spans="1:14" x14ac:dyDescent="0.25">
      <c r="A35" s="275"/>
      <c r="B35" s="136">
        <v>43000</v>
      </c>
      <c r="C35" s="136"/>
      <c r="D35" s="277" t="str">
        <f>VLOOKUP(B35,'Master Akun'!$A$4:$E$51,2,FALSE)</f>
        <v>Potongan Penjualan</v>
      </c>
      <c r="E35" s="136"/>
      <c r="F35" s="137">
        <f>G36*2%</f>
        <v>200000</v>
      </c>
      <c r="G35" s="137"/>
      <c r="H35" s="136"/>
      <c r="I35" s="136"/>
      <c r="J35" s="136"/>
      <c r="K35" s="136"/>
      <c r="L35" s="136"/>
      <c r="M35" s="136"/>
      <c r="N35" s="142"/>
    </row>
    <row r="36" spans="1:14" ht="16.5" thickBot="1" x14ac:dyDescent="0.3">
      <c r="A36" s="270"/>
      <c r="B36" s="215">
        <v>11301</v>
      </c>
      <c r="C36" s="215"/>
      <c r="D36" s="272" t="str">
        <f>VLOOKUP(B36,'Master Akun'!$A$4:$E$51,2,FALSE)</f>
        <v>Piutang Usaha</v>
      </c>
      <c r="E36" s="215" t="s">
        <v>56</v>
      </c>
      <c r="F36" s="244"/>
      <c r="G36" s="244">
        <v>10000000</v>
      </c>
      <c r="H36" s="215"/>
      <c r="I36" s="215"/>
      <c r="J36" s="215"/>
      <c r="K36" s="215"/>
      <c r="L36" s="215"/>
      <c r="M36" s="215"/>
      <c r="N36" s="216"/>
    </row>
    <row r="37" spans="1:14" x14ac:dyDescent="0.25">
      <c r="A37" s="248">
        <v>38727</v>
      </c>
      <c r="B37" s="132">
        <v>61002</v>
      </c>
      <c r="C37" s="132" t="s">
        <v>121</v>
      </c>
      <c r="D37" s="274" t="str">
        <f>VLOOKUP(B37,'Master Akun'!$A$4:$E$51,2,FALSE)</f>
        <v>Beban Sewa</v>
      </c>
      <c r="E37" s="132"/>
      <c r="F37" s="133">
        <v>2500000</v>
      </c>
      <c r="G37" s="133"/>
      <c r="H37" s="132"/>
      <c r="I37" s="132"/>
      <c r="J37" s="132"/>
      <c r="K37" s="132"/>
      <c r="L37" s="132"/>
      <c r="M37" s="132"/>
      <c r="N37" s="140"/>
    </row>
    <row r="38" spans="1:14" x14ac:dyDescent="0.25">
      <c r="A38" s="281"/>
      <c r="B38" s="136">
        <v>11202</v>
      </c>
      <c r="C38" s="136"/>
      <c r="D38" s="277" t="str">
        <f>VLOOKUP(B38,'Master Akun'!$A$4:$E$51,2,FALSE)</f>
        <v>Bank Mandiri</v>
      </c>
      <c r="E38" s="136"/>
      <c r="F38" s="137"/>
      <c r="G38" s="137">
        <v>2500000</v>
      </c>
      <c r="H38" s="136"/>
      <c r="I38" s="136"/>
      <c r="J38" s="136"/>
      <c r="K38" s="136"/>
      <c r="L38" s="136"/>
      <c r="M38" s="136"/>
      <c r="N38" s="136"/>
    </row>
    <row r="39" spans="1:14" x14ac:dyDescent="0.25">
      <c r="A39" s="281"/>
      <c r="B39" s="136">
        <v>11601</v>
      </c>
      <c r="C39" s="136"/>
      <c r="D39" s="277" t="str">
        <f>VLOOKUP(B39,'Master Akun'!$A$4:$E$51,2,FALSE)</f>
        <v>PPN Masukan</v>
      </c>
      <c r="E39" s="136"/>
      <c r="F39" s="137">
        <v>250000</v>
      </c>
      <c r="G39" s="137"/>
      <c r="H39" s="136"/>
      <c r="I39" s="136"/>
      <c r="J39" s="136"/>
      <c r="K39" s="136"/>
      <c r="L39" s="136"/>
      <c r="M39" s="136"/>
      <c r="N39" s="136"/>
    </row>
    <row r="40" spans="1:14" ht="16.5" thickBot="1" x14ac:dyDescent="0.3">
      <c r="A40" s="270"/>
      <c r="B40" s="215">
        <v>21402</v>
      </c>
      <c r="C40" s="215"/>
      <c r="D40" s="272" t="str">
        <f>VLOOKUP(B40,'Master Akun'!$A$4:$E$51,2,FALSE)</f>
        <v>Hutang PPh pasal 4</v>
      </c>
      <c r="E40" s="215"/>
      <c r="F40" s="244"/>
      <c r="G40" s="244">
        <v>250000</v>
      </c>
      <c r="H40" s="215"/>
      <c r="I40" s="215"/>
      <c r="J40" s="215"/>
      <c r="K40" s="215"/>
      <c r="L40" s="215"/>
      <c r="M40" s="215"/>
      <c r="N40" s="216"/>
    </row>
    <row r="41" spans="1:14" x14ac:dyDescent="0.25">
      <c r="A41" s="248">
        <v>38728</v>
      </c>
      <c r="B41" s="132">
        <v>42000</v>
      </c>
      <c r="C41" s="132" t="s">
        <v>122</v>
      </c>
      <c r="D41" s="274" t="str">
        <f>VLOOKUP(B41,'Master Akun'!$A$4:$E$51,2,FALSE)</f>
        <v>Retur Penjualan</v>
      </c>
      <c r="E41" s="132"/>
      <c r="F41" s="133">
        <v>375000</v>
      </c>
      <c r="G41" s="133"/>
      <c r="H41" s="132"/>
      <c r="I41" s="132"/>
      <c r="J41" s="132"/>
      <c r="K41" s="132"/>
      <c r="L41" s="132"/>
      <c r="M41" s="132"/>
      <c r="N41" s="140"/>
    </row>
    <row r="42" spans="1:14" x14ac:dyDescent="0.25">
      <c r="A42" s="275"/>
      <c r="B42" s="136">
        <v>21403</v>
      </c>
      <c r="C42" s="136"/>
      <c r="D42" s="277" t="str">
        <f>VLOOKUP(B42,'Master Akun'!$A$4:$E$51,2,FALSE)</f>
        <v>PPN Keluaran</v>
      </c>
      <c r="E42" s="136"/>
      <c r="F42" s="137">
        <f>F41*10%</f>
        <v>37500</v>
      </c>
      <c r="G42" s="137"/>
      <c r="H42" s="136"/>
      <c r="I42" s="136"/>
      <c r="J42" s="136"/>
      <c r="K42" s="136"/>
      <c r="L42" s="136"/>
      <c r="M42" s="136"/>
      <c r="N42" s="142"/>
    </row>
    <row r="43" spans="1:14" x14ac:dyDescent="0.25">
      <c r="A43" s="275"/>
      <c r="B43" s="136">
        <v>11101</v>
      </c>
      <c r="C43" s="136"/>
      <c r="D43" s="277" t="str">
        <f>VLOOKUP(B43,'Master Akun'!$A$4:$E$51,2,FALSE)</f>
        <v>Kas Ditangan</v>
      </c>
      <c r="E43" s="136"/>
      <c r="F43" s="137"/>
      <c r="G43" s="137">
        <f>SUM(F41:F42)</f>
        <v>412500</v>
      </c>
      <c r="H43" s="136"/>
      <c r="I43" s="136"/>
      <c r="J43" s="136"/>
      <c r="K43" s="136"/>
      <c r="L43" s="136"/>
      <c r="M43" s="136"/>
      <c r="N43" s="142"/>
    </row>
    <row r="44" spans="1:14" x14ac:dyDescent="0.25">
      <c r="A44" s="275"/>
      <c r="B44" s="136">
        <v>11500</v>
      </c>
      <c r="C44" s="136"/>
      <c r="D44" s="277" t="str">
        <f>VLOOKUP(B44,'Master Akun'!$A$4:$E$51,2,FALSE)</f>
        <v>Persediaan Barang Dagang</v>
      </c>
      <c r="E44" s="136"/>
      <c r="F44" s="137">
        <v>325000</v>
      </c>
      <c r="G44" s="137"/>
      <c r="H44" s="136"/>
      <c r="I44" s="136">
        <v>1</v>
      </c>
      <c r="J44" s="136">
        <v>325000</v>
      </c>
      <c r="K44" s="136">
        <f>I44*J44</f>
        <v>325000</v>
      </c>
      <c r="L44" s="136"/>
      <c r="M44" s="136"/>
      <c r="N44" s="142"/>
    </row>
    <row r="45" spans="1:14" ht="16.5" thickBot="1" x14ac:dyDescent="0.3">
      <c r="A45" s="270"/>
      <c r="B45" s="215">
        <v>51000</v>
      </c>
      <c r="C45" s="215"/>
      <c r="D45" s="272" t="str">
        <f>VLOOKUP(B45,'Master Akun'!$A$4:$E$51,2,FALSE)</f>
        <v>Harga Pokok Penjualan</v>
      </c>
      <c r="E45" s="215"/>
      <c r="F45" s="244"/>
      <c r="G45" s="244">
        <v>325000</v>
      </c>
      <c r="H45" s="215"/>
      <c r="I45" s="215"/>
      <c r="J45" s="215"/>
      <c r="K45" s="215"/>
      <c r="L45" s="215"/>
      <c r="M45" s="215"/>
      <c r="N45" s="216"/>
    </row>
    <row r="46" spans="1:14" x14ac:dyDescent="0.25">
      <c r="A46" s="248">
        <v>38730</v>
      </c>
      <c r="B46" s="132">
        <v>11202</v>
      </c>
      <c r="C46" s="132" t="s">
        <v>123</v>
      </c>
      <c r="D46" s="274" t="str">
        <f>VLOOKUP(B46,'Master Akun'!$A$4:$E$51,2,FALSE)</f>
        <v>Bank Mandiri</v>
      </c>
      <c r="E46" s="132"/>
      <c r="F46" s="133">
        <v>7500000</v>
      </c>
      <c r="G46" s="133"/>
      <c r="H46" s="132"/>
      <c r="I46" s="132"/>
      <c r="J46" s="132"/>
      <c r="K46" s="132"/>
      <c r="L46" s="132"/>
      <c r="M46" s="132"/>
      <c r="N46" s="140"/>
    </row>
    <row r="47" spans="1:14" ht="16.5" thickBot="1" x14ac:dyDescent="0.3">
      <c r="A47" s="270"/>
      <c r="B47" s="215">
        <v>11301</v>
      </c>
      <c r="C47" s="215"/>
      <c r="D47" s="282" t="str">
        <f>VLOOKUP(B47,'Master Akun'!$A$4:$E$51,2,FALSE)</f>
        <v>Piutang Usaha</v>
      </c>
      <c r="E47" s="215" t="s">
        <v>58</v>
      </c>
      <c r="F47" s="244"/>
      <c r="G47" s="244">
        <v>7500000</v>
      </c>
      <c r="H47" s="215"/>
      <c r="I47" s="215"/>
      <c r="J47" s="215"/>
      <c r="K47" s="215"/>
      <c r="L47" s="215"/>
      <c r="M47" s="215"/>
      <c r="N47" s="216"/>
    </row>
    <row r="48" spans="1:14" x14ac:dyDescent="0.25">
      <c r="A48" s="248">
        <v>38735</v>
      </c>
      <c r="B48" s="132">
        <v>61004</v>
      </c>
      <c r="C48" s="132" t="s">
        <v>124</v>
      </c>
      <c r="D48" s="274" t="str">
        <f>VLOOKUP(B48,'Master Akun'!$A$4:$E$51,2,FALSE)</f>
        <v>Beban Listrik</v>
      </c>
      <c r="E48" s="132"/>
      <c r="F48" s="133">
        <v>175000</v>
      </c>
      <c r="G48" s="133"/>
      <c r="H48" s="132"/>
      <c r="I48" s="132"/>
      <c r="J48" s="132"/>
      <c r="K48" s="132"/>
      <c r="L48" s="132"/>
      <c r="M48" s="132"/>
      <c r="N48" s="140"/>
    </row>
    <row r="49" spans="1:14" x14ac:dyDescent="0.25">
      <c r="A49" s="283"/>
      <c r="B49" s="136">
        <v>61005</v>
      </c>
      <c r="C49" s="136"/>
      <c r="D49" s="267" t="str">
        <f>VLOOKUP(B49,'Master Akun'!$A$4:$E$51,2,FALSE)</f>
        <v>Beban Telepon</v>
      </c>
      <c r="E49" s="136"/>
      <c r="F49" s="137">
        <v>212500</v>
      </c>
      <c r="G49" s="137"/>
      <c r="H49" s="136"/>
      <c r="I49" s="136"/>
      <c r="J49" s="136"/>
      <c r="K49" s="136"/>
      <c r="L49" s="136"/>
      <c r="M49" s="136"/>
      <c r="N49" s="142"/>
    </row>
    <row r="50" spans="1:14" ht="16.5" thickBot="1" x14ac:dyDescent="0.3">
      <c r="A50" s="284"/>
      <c r="B50" s="144">
        <v>11202</v>
      </c>
      <c r="C50" s="144"/>
      <c r="D50" s="285" t="str">
        <f>VLOOKUP(B50,'Master Akun'!$A$4:$E$51,2,FALSE)</f>
        <v>Bank Mandiri</v>
      </c>
      <c r="E50" s="144"/>
      <c r="F50" s="145"/>
      <c r="G50" s="145">
        <f>SUM(F48:F49)</f>
        <v>387500</v>
      </c>
      <c r="H50" s="144"/>
      <c r="I50" s="144"/>
      <c r="J50" s="144"/>
      <c r="K50" s="144"/>
      <c r="L50" s="144"/>
      <c r="M50" s="144"/>
      <c r="N50" s="146"/>
    </row>
    <row r="51" spans="1:14" x14ac:dyDescent="0.25">
      <c r="A51" s="248">
        <v>38738</v>
      </c>
      <c r="B51" s="132">
        <v>12201</v>
      </c>
      <c r="C51" s="132" t="s">
        <v>125</v>
      </c>
      <c r="D51" s="274" t="str">
        <f>VLOOKUP(B51,'Master Akun'!$A$4:$E$51,2,FALSE)</f>
        <v>Kendaraan</v>
      </c>
      <c r="E51" s="132"/>
      <c r="F51" s="133">
        <v>11500000</v>
      </c>
      <c r="G51" s="133"/>
      <c r="H51" s="132"/>
      <c r="I51" s="132"/>
      <c r="J51" s="132"/>
      <c r="K51" s="132"/>
      <c r="L51" s="132"/>
      <c r="M51" s="132"/>
      <c r="N51" s="140"/>
    </row>
    <row r="52" spans="1:14" ht="16.5" thickBot="1" x14ac:dyDescent="0.3">
      <c r="A52" s="286"/>
      <c r="B52" s="262">
        <v>11201</v>
      </c>
      <c r="C52" s="215"/>
      <c r="D52" s="272" t="str">
        <f>VLOOKUP(B52,'Master Akun'!$A$4:$E$51,2,FALSE)</f>
        <v>Bank BCA</v>
      </c>
      <c r="E52" s="215"/>
      <c r="F52" s="244"/>
      <c r="G52" s="244">
        <v>11500000</v>
      </c>
      <c r="H52" s="215"/>
      <c r="I52" s="215"/>
      <c r="J52" s="215"/>
      <c r="K52" s="215"/>
      <c r="L52" s="215"/>
      <c r="M52" s="215"/>
      <c r="N52" s="216"/>
    </row>
    <row r="53" spans="1:14" x14ac:dyDescent="0.25">
      <c r="A53" s="248">
        <v>38739</v>
      </c>
      <c r="B53" s="254">
        <v>11301</v>
      </c>
      <c r="C53" s="132" t="s">
        <v>126</v>
      </c>
      <c r="D53" s="274" t="str">
        <f>VLOOKUP(B53,'Master Akun'!$A$4:$E$51,2,FALSE)</f>
        <v>Piutang Usaha</v>
      </c>
      <c r="E53" s="132" t="s">
        <v>57</v>
      </c>
      <c r="F53" s="133">
        <f>SUM(G54:G55)</f>
        <v>29425000</v>
      </c>
      <c r="G53" s="133"/>
      <c r="H53" s="132"/>
      <c r="I53" s="132"/>
      <c r="J53" s="132"/>
      <c r="K53" s="132"/>
      <c r="L53" s="132"/>
      <c r="M53" s="132"/>
      <c r="N53" s="140"/>
    </row>
    <row r="54" spans="1:14" x14ac:dyDescent="0.25">
      <c r="A54" s="283"/>
      <c r="B54" s="173">
        <v>41000</v>
      </c>
      <c r="C54" s="136"/>
      <c r="D54" s="277" t="str">
        <f>VLOOKUP(B54,'Master Akun'!$A$4:$E$51,2,FALSE)</f>
        <v xml:space="preserve">Penjualan </v>
      </c>
      <c r="E54" s="136"/>
      <c r="F54" s="137"/>
      <c r="G54" s="137">
        <v>26750000</v>
      </c>
      <c r="H54" s="136"/>
      <c r="I54" s="136"/>
      <c r="J54" s="136"/>
      <c r="K54" s="136"/>
      <c r="L54" s="136"/>
      <c r="M54" s="136"/>
      <c r="N54" s="142"/>
    </row>
    <row r="55" spans="1:14" x14ac:dyDescent="0.25">
      <c r="A55" s="283"/>
      <c r="B55" s="173">
        <v>21403</v>
      </c>
      <c r="C55" s="136"/>
      <c r="D55" s="277" t="str">
        <f>VLOOKUP(B55,'Master Akun'!$A$4:$E$51,2,FALSE)</f>
        <v>PPN Keluaran</v>
      </c>
      <c r="E55" s="136"/>
      <c r="F55" s="137"/>
      <c r="G55" s="137">
        <f>G54*10%</f>
        <v>2675000</v>
      </c>
      <c r="H55" s="136"/>
      <c r="I55" s="136"/>
      <c r="J55" s="136"/>
      <c r="K55" s="136"/>
      <c r="L55" s="136"/>
      <c r="M55" s="136"/>
      <c r="N55" s="142"/>
    </row>
    <row r="56" spans="1:14" x14ac:dyDescent="0.25">
      <c r="A56" s="283"/>
      <c r="B56" s="173">
        <v>51000</v>
      </c>
      <c r="C56" s="136"/>
      <c r="D56" s="277" t="str">
        <f>VLOOKUP(B56,'Master Akun'!$A$4:$E$51,2,FALSE)</f>
        <v>Harga Pokok Penjualan</v>
      </c>
      <c r="E56" s="136"/>
      <c r="F56" s="137">
        <f>SUM(G57:G59)</f>
        <v>21940000</v>
      </c>
      <c r="G56" s="137"/>
      <c r="H56" s="136"/>
      <c r="I56" s="136"/>
      <c r="J56" s="136"/>
      <c r="K56" s="136"/>
      <c r="L56" s="136"/>
      <c r="M56" s="136"/>
      <c r="N56" s="142"/>
    </row>
    <row r="57" spans="1:14" x14ac:dyDescent="0.25">
      <c r="A57" s="283"/>
      <c r="B57" s="173">
        <v>11500</v>
      </c>
      <c r="C57" s="136"/>
      <c r="D57" s="277" t="str">
        <f>VLOOKUP(B57,'Master Akun'!$A$4:$E$51,2,FALSE)</f>
        <v>Persediaan Barang Dagang</v>
      </c>
      <c r="E57" s="136"/>
      <c r="F57" s="137"/>
      <c r="G57" s="137">
        <f>N57</f>
        <v>7000000</v>
      </c>
      <c r="H57" s="136" t="s">
        <v>85</v>
      </c>
      <c r="I57" s="136"/>
      <c r="J57" s="136"/>
      <c r="K57" s="136"/>
      <c r="L57" s="136">
        <v>5</v>
      </c>
      <c r="M57" s="136">
        <v>1400000</v>
      </c>
      <c r="N57" s="142">
        <f>L57*M57</f>
        <v>7000000</v>
      </c>
    </row>
    <row r="58" spans="1:14" x14ac:dyDescent="0.25">
      <c r="A58" s="283"/>
      <c r="B58" s="173">
        <v>11500</v>
      </c>
      <c r="C58" s="136"/>
      <c r="D58" s="277" t="str">
        <f>VLOOKUP(B58,'Master Akun'!$A$4:$E$51,2,FALSE)</f>
        <v>Persediaan Barang Dagang</v>
      </c>
      <c r="E58" s="136"/>
      <c r="F58" s="137"/>
      <c r="G58" s="137">
        <f>N58</f>
        <v>11400000</v>
      </c>
      <c r="H58" s="136" t="s">
        <v>89</v>
      </c>
      <c r="I58" s="136"/>
      <c r="J58" s="136"/>
      <c r="K58" s="136"/>
      <c r="L58" s="136">
        <v>4</v>
      </c>
      <c r="M58" s="136">
        <v>2850000</v>
      </c>
      <c r="N58" s="142">
        <f>L58*M58</f>
        <v>11400000</v>
      </c>
    </row>
    <row r="59" spans="1:14" ht="16.5" thickBot="1" x14ac:dyDescent="0.3">
      <c r="A59" s="286"/>
      <c r="B59" s="262">
        <v>11500</v>
      </c>
      <c r="C59" s="215"/>
      <c r="D59" s="272" t="str">
        <f>VLOOKUP(B59,'Master Akun'!$A$4:$E$51,2,FALSE)</f>
        <v>Persediaan Barang Dagang</v>
      </c>
      <c r="E59" s="215"/>
      <c r="F59" s="244"/>
      <c r="G59" s="244">
        <f>N59</f>
        <v>3540000</v>
      </c>
      <c r="H59" s="215" t="s">
        <v>90</v>
      </c>
      <c r="I59" s="215"/>
      <c r="J59" s="215"/>
      <c r="K59" s="215"/>
      <c r="L59" s="215">
        <v>6</v>
      </c>
      <c r="M59" s="215">
        <v>590000</v>
      </c>
      <c r="N59" s="216">
        <f>L59*M59</f>
        <v>3540000</v>
      </c>
    </row>
    <row r="60" spans="1:14" x14ac:dyDescent="0.25">
      <c r="A60" s="248">
        <v>38740</v>
      </c>
      <c r="B60" s="132">
        <v>11202</v>
      </c>
      <c r="C60" s="132" t="s">
        <v>127</v>
      </c>
      <c r="D60" s="274" t="str">
        <f>VLOOKUP(B60,'Master Akun'!$A$4:$E$51,2,FALSE)</f>
        <v>Bank Mandiri</v>
      </c>
      <c r="E60" s="132"/>
      <c r="F60" s="133">
        <v>10000000</v>
      </c>
      <c r="G60" s="133"/>
      <c r="H60" s="132"/>
      <c r="I60" s="132"/>
      <c r="J60" s="132"/>
      <c r="K60" s="132"/>
      <c r="L60" s="132"/>
      <c r="M60" s="132"/>
      <c r="N60" s="140"/>
    </row>
    <row r="61" spans="1:14" x14ac:dyDescent="0.25">
      <c r="A61" s="283"/>
      <c r="B61" s="136">
        <v>11301</v>
      </c>
      <c r="C61" s="136"/>
      <c r="D61" s="277" t="str">
        <f>VLOOKUP(B61,'Master Akun'!$A$4:$E$51,2,FALSE)</f>
        <v>Piutang Usaha</v>
      </c>
      <c r="E61" s="136" t="s">
        <v>56</v>
      </c>
      <c r="F61" s="137">
        <f>SUM(G62:G63)-F60</f>
        <v>30535000</v>
      </c>
      <c r="G61" s="137"/>
      <c r="H61" s="136"/>
      <c r="I61" s="136"/>
      <c r="J61" s="136"/>
      <c r="K61" s="136"/>
      <c r="L61" s="136"/>
      <c r="M61" s="136"/>
      <c r="N61" s="142"/>
    </row>
    <row r="62" spans="1:14" x14ac:dyDescent="0.25">
      <c r="A62" s="283"/>
      <c r="B62" s="136">
        <v>41000</v>
      </c>
      <c r="C62" s="136"/>
      <c r="D62" s="277" t="str">
        <f>VLOOKUP(B62,'Master Akun'!$A$4:$E$51,2,FALSE)</f>
        <v xml:space="preserve">Penjualan </v>
      </c>
      <c r="E62" s="136"/>
      <c r="F62" s="137"/>
      <c r="G62" s="137">
        <v>36850000</v>
      </c>
      <c r="H62" s="136"/>
      <c r="I62" s="136"/>
      <c r="J62" s="136"/>
      <c r="K62" s="136"/>
      <c r="L62" s="136"/>
      <c r="M62" s="136"/>
      <c r="N62" s="142"/>
    </row>
    <row r="63" spans="1:14" x14ac:dyDescent="0.25">
      <c r="A63" s="283"/>
      <c r="B63" s="136">
        <v>21403</v>
      </c>
      <c r="C63" s="136"/>
      <c r="D63" s="277" t="str">
        <f>VLOOKUP(B63,'Master Akun'!$A$4:$E$51,2,FALSE)</f>
        <v>PPN Keluaran</v>
      </c>
      <c r="E63" s="136"/>
      <c r="F63" s="137"/>
      <c r="G63" s="137">
        <f>10%*G62</f>
        <v>3685000</v>
      </c>
      <c r="H63" s="136"/>
      <c r="I63" s="136"/>
      <c r="J63" s="136"/>
      <c r="K63" s="136"/>
      <c r="L63" s="136"/>
      <c r="M63" s="136"/>
      <c r="N63" s="142"/>
    </row>
    <row r="64" spans="1:14" x14ac:dyDescent="0.25">
      <c r="A64" s="283"/>
      <c r="B64" s="136">
        <v>51000</v>
      </c>
      <c r="C64" s="136"/>
      <c r="D64" s="277" t="str">
        <f>VLOOKUP(B64,'Master Akun'!$A$4:$E$51,2,FALSE)</f>
        <v>Harga Pokok Penjualan</v>
      </c>
      <c r="E64" s="136"/>
      <c r="F64" s="137">
        <f>SUM(G65:G67)</f>
        <v>29150000</v>
      </c>
      <c r="G64" s="137"/>
      <c r="H64" s="136"/>
      <c r="I64" s="136"/>
      <c r="J64" s="136"/>
      <c r="K64" s="136"/>
      <c r="L64" s="136"/>
      <c r="M64" s="136"/>
      <c r="N64" s="142"/>
    </row>
    <row r="65" spans="1:16" x14ac:dyDescent="0.25">
      <c r="A65" s="283"/>
      <c r="B65" s="136">
        <v>11500</v>
      </c>
      <c r="C65" s="136"/>
      <c r="D65" s="277" t="str">
        <f>VLOOKUP(B65,'Master Akun'!$A$4:$E$51,2,FALSE)</f>
        <v>Persediaan Barang Dagang</v>
      </c>
      <c r="E65" s="136"/>
      <c r="F65" s="137"/>
      <c r="G65" s="137">
        <f>N65</f>
        <v>7800000</v>
      </c>
      <c r="H65" s="136" t="s">
        <v>92</v>
      </c>
      <c r="I65" s="136"/>
      <c r="J65" s="136"/>
      <c r="K65" s="136"/>
      <c r="L65" s="136">
        <v>6</v>
      </c>
      <c r="M65" s="136">
        <v>1300000</v>
      </c>
      <c r="N65" s="142">
        <f>L65*M65</f>
        <v>7800000</v>
      </c>
    </row>
    <row r="66" spans="1:16" x14ac:dyDescent="0.25">
      <c r="A66" s="283"/>
      <c r="B66" s="136">
        <v>11500</v>
      </c>
      <c r="C66" s="136"/>
      <c r="D66" s="277" t="str">
        <f>VLOOKUP(B66,'Master Akun'!$A$4:$E$51,2,FALSE)</f>
        <v>Persediaan Barang Dagang</v>
      </c>
      <c r="E66" s="136"/>
      <c r="F66" s="137"/>
      <c r="G66" s="137">
        <f>N66</f>
        <v>14000000</v>
      </c>
      <c r="H66" s="136" t="s">
        <v>93</v>
      </c>
      <c r="I66" s="136"/>
      <c r="J66" s="136"/>
      <c r="K66" s="136"/>
      <c r="L66" s="136">
        <v>8</v>
      </c>
      <c r="M66" s="136">
        <v>1750000</v>
      </c>
      <c r="N66" s="142">
        <f>L66*M66</f>
        <v>14000000</v>
      </c>
    </row>
    <row r="67" spans="1:16" ht="16.5" thickBot="1" x14ac:dyDescent="0.3">
      <c r="A67" s="286"/>
      <c r="B67" s="215">
        <v>11500</v>
      </c>
      <c r="C67" s="215"/>
      <c r="D67" s="272" t="str">
        <f>VLOOKUP(B67,'Master Akun'!$A$4:$E$51,2,FALSE)</f>
        <v>Persediaan Barang Dagang</v>
      </c>
      <c r="E67" s="215"/>
      <c r="F67" s="244"/>
      <c r="G67" s="244">
        <f>N67</f>
        <v>7350000</v>
      </c>
      <c r="H67" s="215" t="s">
        <v>94</v>
      </c>
      <c r="I67" s="215"/>
      <c r="J67" s="215"/>
      <c r="K67" s="215"/>
      <c r="L67" s="215">
        <v>7</v>
      </c>
      <c r="M67" s="215">
        <v>1050000</v>
      </c>
      <c r="N67" s="216">
        <f>L67*M67</f>
        <v>7350000</v>
      </c>
    </row>
    <row r="68" spans="1:16" x14ac:dyDescent="0.25">
      <c r="A68" s="248">
        <v>38741</v>
      </c>
      <c r="B68" s="132">
        <v>42000</v>
      </c>
      <c r="C68" s="132" t="s">
        <v>128</v>
      </c>
      <c r="D68" s="274" t="str">
        <f>VLOOKUP(B68,'Master Akun'!$A$4:$E$51,2,FALSE)</f>
        <v>Retur Penjualan</v>
      </c>
      <c r="E68" s="132"/>
      <c r="F68" s="133">
        <v>1750000</v>
      </c>
      <c r="G68" s="133"/>
      <c r="H68" s="132"/>
      <c r="I68" s="132"/>
      <c r="J68" s="132"/>
      <c r="K68" s="132"/>
      <c r="L68" s="132"/>
      <c r="M68" s="132"/>
      <c r="N68" s="140"/>
    </row>
    <row r="69" spans="1:16" x14ac:dyDescent="0.25">
      <c r="A69" s="283"/>
      <c r="B69" s="136">
        <v>21403</v>
      </c>
      <c r="C69" s="136"/>
      <c r="D69" s="277" t="str">
        <f>VLOOKUP(B69,'Master Akun'!$A$4:$E$51,2,FALSE)</f>
        <v>PPN Keluaran</v>
      </c>
      <c r="E69" s="136"/>
      <c r="F69" s="137">
        <f>10%*F68</f>
        <v>175000</v>
      </c>
      <c r="G69" s="137"/>
      <c r="H69" s="136"/>
      <c r="I69" s="136"/>
      <c r="J69" s="136"/>
      <c r="K69" s="136"/>
      <c r="L69" s="136"/>
      <c r="M69" s="136"/>
      <c r="N69" s="142"/>
    </row>
    <row r="70" spans="1:16" x14ac:dyDescent="0.25">
      <c r="A70" s="283"/>
      <c r="B70" s="136">
        <v>11301</v>
      </c>
      <c r="C70" s="136"/>
      <c r="D70" s="277" t="str">
        <f>VLOOKUP(B70,'Master Akun'!$A$4:$E$51,2,FALSE)</f>
        <v>Piutang Usaha</v>
      </c>
      <c r="E70" s="136" t="s">
        <v>57</v>
      </c>
      <c r="F70" s="137"/>
      <c r="G70" s="137">
        <f>SUM(F68:F69)</f>
        <v>1925000</v>
      </c>
      <c r="H70" s="136"/>
      <c r="I70" s="136"/>
      <c r="J70" s="136"/>
      <c r="K70" s="136"/>
      <c r="L70" s="136"/>
      <c r="M70" s="136"/>
      <c r="N70" s="142"/>
    </row>
    <row r="71" spans="1:16" x14ac:dyDescent="0.25">
      <c r="A71" s="283"/>
      <c r="B71" s="136">
        <v>11500</v>
      </c>
      <c r="C71" s="136"/>
      <c r="D71" s="277" t="str">
        <f>VLOOKUP(B71,'Master Akun'!$A$4:$E$51,2,FALSE)</f>
        <v>Persediaan Barang Dagang</v>
      </c>
      <c r="E71" s="136"/>
      <c r="F71" s="137">
        <f>K71</f>
        <v>1400000</v>
      </c>
      <c r="G71" s="137"/>
      <c r="H71" s="136" t="s">
        <v>85</v>
      </c>
      <c r="I71" s="136">
        <v>1</v>
      </c>
      <c r="J71" s="136">
        <v>1400000</v>
      </c>
      <c r="K71" s="136">
        <f>I71*J71</f>
        <v>1400000</v>
      </c>
      <c r="L71" s="136"/>
      <c r="M71" s="136"/>
      <c r="N71" s="142"/>
    </row>
    <row r="72" spans="1:16" ht="16.5" thickBot="1" x14ac:dyDescent="0.3">
      <c r="A72" s="286"/>
      <c r="B72" s="215">
        <v>51000</v>
      </c>
      <c r="C72" s="215"/>
      <c r="D72" s="272" t="str">
        <f>VLOOKUP(B72,'Master Akun'!$A$4:$E$51,2,FALSE)</f>
        <v>Harga Pokok Penjualan</v>
      </c>
      <c r="E72" s="215"/>
      <c r="F72" s="244"/>
      <c r="G72" s="244">
        <f>K71</f>
        <v>1400000</v>
      </c>
      <c r="H72" s="215"/>
      <c r="I72" s="215"/>
      <c r="J72" s="215"/>
      <c r="K72" s="215"/>
      <c r="L72" s="215"/>
      <c r="M72" s="215"/>
      <c r="N72" s="216"/>
    </row>
    <row r="73" spans="1:16" x14ac:dyDescent="0.25">
      <c r="A73" s="248">
        <v>38743</v>
      </c>
      <c r="B73" s="132">
        <v>11202</v>
      </c>
      <c r="C73" s="132" t="s">
        <v>129</v>
      </c>
      <c r="D73" s="274" t="str">
        <f>VLOOKUP(B73,'Master Akun'!$A$4:$E$51,2,FALSE)</f>
        <v>Bank Mandiri</v>
      </c>
      <c r="E73" s="132"/>
      <c r="F73" s="133">
        <v>31559000</v>
      </c>
      <c r="G73" s="133"/>
      <c r="H73" s="132"/>
      <c r="I73" s="132"/>
      <c r="J73" s="132"/>
      <c r="K73" s="132"/>
      <c r="L73" s="132"/>
      <c r="M73" s="132"/>
      <c r="N73" s="140"/>
    </row>
    <row r="74" spans="1:16" x14ac:dyDescent="0.25">
      <c r="A74" s="283"/>
      <c r="B74" s="136">
        <v>43000</v>
      </c>
      <c r="C74" s="136"/>
      <c r="D74" s="277" t="str">
        <f>VLOOKUP(B74,'Master Akun'!$A$4:$E$51,2,FALSE)</f>
        <v>Potongan Penjualan</v>
      </c>
      <c r="E74" s="136"/>
      <c r="F74" s="137">
        <f>5%*30200000</f>
        <v>1510000</v>
      </c>
      <c r="G74" s="137"/>
      <c r="H74" s="136"/>
      <c r="I74" s="136"/>
      <c r="J74" s="136"/>
      <c r="K74" s="136"/>
      <c r="L74" s="136"/>
      <c r="M74" s="136"/>
      <c r="N74" s="142"/>
    </row>
    <row r="75" spans="1:16" x14ac:dyDescent="0.25">
      <c r="A75" s="283"/>
      <c r="B75" s="136">
        <v>41000</v>
      </c>
      <c r="C75" s="136"/>
      <c r="D75" s="277" t="str">
        <f>VLOOKUP(B75,'Master Akun'!$A$4:$E$51,2,FALSE)</f>
        <v xml:space="preserve">Penjualan </v>
      </c>
      <c r="E75" s="136"/>
      <c r="F75" s="137"/>
      <c r="G75" s="137">
        <f>30200000</f>
        <v>30200000</v>
      </c>
      <c r="H75" s="136"/>
      <c r="I75" s="136"/>
      <c r="J75" s="136"/>
      <c r="K75" s="136"/>
      <c r="L75" s="136"/>
      <c r="M75" s="136"/>
      <c r="N75" s="142"/>
    </row>
    <row r="76" spans="1:16" x14ac:dyDescent="0.25">
      <c r="A76" s="283"/>
      <c r="B76" s="136">
        <v>21403</v>
      </c>
      <c r="C76" s="136"/>
      <c r="D76" s="277" t="str">
        <f>VLOOKUP(B76,'Master Akun'!$A$4:$E$51,2,FALSE)</f>
        <v>PPN Keluaran</v>
      </c>
      <c r="E76" s="136"/>
      <c r="F76" s="137"/>
      <c r="G76" s="137">
        <f>(G75-F74)*10%</f>
        <v>2869000</v>
      </c>
      <c r="H76" s="136"/>
      <c r="I76" s="136"/>
      <c r="J76" s="136"/>
      <c r="K76" s="136"/>
      <c r="L76" s="136"/>
      <c r="M76" s="136"/>
      <c r="N76" s="142"/>
      <c r="O76" s="287" t="s">
        <v>131</v>
      </c>
      <c r="P76" s="287"/>
    </row>
    <row r="77" spans="1:16" x14ac:dyDescent="0.25">
      <c r="A77" s="283"/>
      <c r="B77" s="136">
        <v>51000</v>
      </c>
      <c r="C77" s="136"/>
      <c r="D77" s="277" t="str">
        <f>VLOOKUP(B77,'Master Akun'!$A$4:$E$51,2,FALSE)</f>
        <v>Harga Pokok Penjualan</v>
      </c>
      <c r="E77" s="136"/>
      <c r="F77" s="137">
        <f>SUM(G78:G80)</f>
        <v>24250000</v>
      </c>
      <c r="G77" s="137"/>
      <c r="H77" s="136"/>
      <c r="I77" s="136"/>
      <c r="J77" s="136"/>
      <c r="K77" s="136"/>
      <c r="L77" s="136"/>
      <c r="M77" s="136"/>
      <c r="N77" s="142"/>
    </row>
    <row r="78" spans="1:16" x14ac:dyDescent="0.25">
      <c r="A78" s="283"/>
      <c r="B78" s="136">
        <v>11500</v>
      </c>
      <c r="C78" s="136"/>
      <c r="D78" s="277" t="str">
        <f>VLOOKUP(B78,'Master Akun'!$A$4:$E$51,2,FALSE)</f>
        <v>Persediaan Barang Dagang</v>
      </c>
      <c r="E78" s="136"/>
      <c r="F78" s="137"/>
      <c r="G78" s="137">
        <f>N78</f>
        <v>11200000</v>
      </c>
      <c r="H78" s="136" t="s">
        <v>85</v>
      </c>
      <c r="I78" s="136"/>
      <c r="J78" s="136"/>
      <c r="K78" s="136"/>
      <c r="L78" s="136">
        <v>8</v>
      </c>
      <c r="M78" s="136">
        <v>1400000</v>
      </c>
      <c r="N78" s="142">
        <f>L78*M78</f>
        <v>11200000</v>
      </c>
    </row>
    <row r="79" spans="1:16" x14ac:dyDescent="0.25">
      <c r="A79" s="283"/>
      <c r="B79" s="136">
        <v>11500</v>
      </c>
      <c r="C79" s="136"/>
      <c r="D79" s="277" t="str">
        <f>VLOOKUP(B79,'Master Akun'!$A$4:$E$51,2,FALSE)</f>
        <v>Persediaan Barang Dagang</v>
      </c>
      <c r="E79" s="136"/>
      <c r="F79" s="137"/>
      <c r="G79" s="137">
        <f>N79</f>
        <v>7800000</v>
      </c>
      <c r="H79" s="136" t="s">
        <v>92</v>
      </c>
      <c r="I79" s="136"/>
      <c r="J79" s="136"/>
      <c r="K79" s="136"/>
      <c r="L79" s="136">
        <v>6</v>
      </c>
      <c r="M79" s="136">
        <v>1300000</v>
      </c>
      <c r="N79" s="142">
        <f>L79*M79</f>
        <v>7800000</v>
      </c>
    </row>
    <row r="80" spans="1:16" ht="16.5" thickBot="1" x14ac:dyDescent="0.3">
      <c r="A80" s="286"/>
      <c r="B80" s="215">
        <v>11500</v>
      </c>
      <c r="C80" s="215"/>
      <c r="D80" s="272" t="str">
        <f>VLOOKUP(B80,'Master Akun'!$A$4:$E$51,2,FALSE)</f>
        <v>Persediaan Barang Dagang</v>
      </c>
      <c r="E80" s="215"/>
      <c r="F80" s="244"/>
      <c r="G80" s="244">
        <f>N80</f>
        <v>5250000</v>
      </c>
      <c r="H80" s="215" t="s">
        <v>93</v>
      </c>
      <c r="I80" s="215"/>
      <c r="J80" s="215"/>
      <c r="K80" s="215"/>
      <c r="L80" s="215">
        <v>3</v>
      </c>
      <c r="M80" s="215">
        <v>1750000</v>
      </c>
      <c r="N80" s="216">
        <f>L80*M80</f>
        <v>5250000</v>
      </c>
    </row>
    <row r="81" spans="1:14" x14ac:dyDescent="0.25">
      <c r="A81" s="248">
        <v>38744</v>
      </c>
      <c r="B81" s="132">
        <v>11401</v>
      </c>
      <c r="C81" s="132" t="s">
        <v>130</v>
      </c>
      <c r="D81" s="274" t="str">
        <f>VLOOKUP(B81,'Master Akun'!$A$4:$E$51,2,FALSE)</f>
        <v>Piutang Karyawan</v>
      </c>
      <c r="E81" s="132" t="s">
        <v>139</v>
      </c>
      <c r="F81" s="133">
        <v>2500000</v>
      </c>
      <c r="G81" s="133"/>
      <c r="H81" s="132"/>
      <c r="I81" s="132"/>
      <c r="J81" s="132"/>
      <c r="K81" s="132"/>
      <c r="L81" s="132"/>
      <c r="M81" s="132"/>
      <c r="N81" s="140"/>
    </row>
    <row r="82" spans="1:14" ht="16.5" thickBot="1" x14ac:dyDescent="0.3">
      <c r="A82" s="286"/>
      <c r="B82" s="215">
        <v>11201</v>
      </c>
      <c r="C82" s="215"/>
      <c r="D82" s="272" t="str">
        <f>VLOOKUP(B82,'Master Akun'!$A$4:$E$51,2,FALSE)</f>
        <v>Bank BCA</v>
      </c>
      <c r="E82" s="215"/>
      <c r="F82" s="244"/>
      <c r="G82" s="244">
        <v>2500000</v>
      </c>
      <c r="H82" s="215"/>
      <c r="I82" s="215"/>
      <c r="J82" s="215"/>
      <c r="K82" s="215"/>
      <c r="L82" s="215"/>
      <c r="M82" s="215"/>
      <c r="N82" s="216"/>
    </row>
    <row r="83" spans="1:14" x14ac:dyDescent="0.25">
      <c r="A83" s="248">
        <v>38745</v>
      </c>
      <c r="B83" s="132">
        <v>21100</v>
      </c>
      <c r="C83" s="132" t="s">
        <v>132</v>
      </c>
      <c r="D83" s="274" t="str">
        <f>VLOOKUP(B83,'Master Akun'!$A$4:$E$51,2,FALSE)</f>
        <v>Hutang Usaha</v>
      </c>
      <c r="E83" s="132" t="s">
        <v>72</v>
      </c>
      <c r="F83" s="133">
        <v>22000000</v>
      </c>
      <c r="G83" s="133"/>
      <c r="H83" s="132"/>
      <c r="I83" s="132"/>
      <c r="J83" s="132"/>
      <c r="K83" s="132"/>
      <c r="L83" s="132"/>
      <c r="M83" s="132"/>
      <c r="N83" s="140"/>
    </row>
    <row r="84" spans="1:14" x14ac:dyDescent="0.25">
      <c r="A84" s="283"/>
      <c r="B84" s="136">
        <v>11201</v>
      </c>
      <c r="C84" s="136"/>
      <c r="D84" s="277" t="str">
        <f>VLOOKUP(B84,'Master Akun'!$A$4:$E$51,2,FALSE)</f>
        <v>Bank BCA</v>
      </c>
      <c r="E84" s="136"/>
      <c r="F84" s="137"/>
      <c r="G84" s="137">
        <v>10000000</v>
      </c>
      <c r="H84" s="136"/>
      <c r="I84" s="136"/>
      <c r="J84" s="136"/>
      <c r="K84" s="136"/>
      <c r="L84" s="136"/>
      <c r="M84" s="136"/>
      <c r="N84" s="142"/>
    </row>
    <row r="85" spans="1:14" ht="16.5" thickBot="1" x14ac:dyDescent="0.3">
      <c r="A85" s="284"/>
      <c r="B85" s="144">
        <v>11202</v>
      </c>
      <c r="C85" s="144"/>
      <c r="D85" s="280" t="str">
        <f>VLOOKUP(B85,'Master Akun'!$A$4:$E$51,2,FALSE)</f>
        <v>Bank Mandiri</v>
      </c>
      <c r="E85" s="144"/>
      <c r="F85" s="145"/>
      <c r="G85" s="145">
        <v>12000000</v>
      </c>
      <c r="H85" s="144"/>
      <c r="I85" s="144"/>
      <c r="J85" s="144"/>
      <c r="K85" s="144"/>
      <c r="L85" s="144"/>
      <c r="M85" s="144"/>
      <c r="N85" s="146"/>
    </row>
    <row r="86" spans="1:14" x14ac:dyDescent="0.25">
      <c r="A86" s="248">
        <v>38746</v>
      </c>
      <c r="B86" s="132">
        <v>61008</v>
      </c>
      <c r="C86" s="132" t="s">
        <v>135</v>
      </c>
      <c r="D86" s="274" t="str">
        <f>VLOOKUP(B86,'Master Akun'!$A$4:$E$51,2,FALSE)</f>
        <v>Beban Pemasaran</v>
      </c>
      <c r="E86" s="132"/>
      <c r="F86" s="133">
        <v>750000</v>
      </c>
      <c r="G86" s="133"/>
      <c r="H86" s="132"/>
      <c r="I86" s="132"/>
      <c r="J86" s="132"/>
      <c r="K86" s="132"/>
      <c r="L86" s="132"/>
      <c r="M86" s="132"/>
      <c r="N86" s="140"/>
    </row>
    <row r="87" spans="1:14" x14ac:dyDescent="0.25">
      <c r="A87" s="283"/>
      <c r="B87" s="136">
        <v>61009</v>
      </c>
      <c r="C87" s="136"/>
      <c r="D87" s="277" t="str">
        <f>VLOOKUP(B87,'Master Akun'!$A$4:$E$51,2,FALSE)</f>
        <v>Beban Transportasi</v>
      </c>
      <c r="E87" s="136"/>
      <c r="F87" s="137">
        <v>250000</v>
      </c>
      <c r="G87" s="137"/>
      <c r="H87" s="136"/>
      <c r="I87" s="136"/>
      <c r="J87" s="136"/>
      <c r="K87" s="136"/>
      <c r="L87" s="136"/>
      <c r="M87" s="136"/>
      <c r="N87" s="142"/>
    </row>
    <row r="88" spans="1:14" x14ac:dyDescent="0.25">
      <c r="A88" s="283"/>
      <c r="B88" s="136">
        <v>61010</v>
      </c>
      <c r="C88" s="136"/>
      <c r="D88" s="277" t="str">
        <f>VLOOKUP(B88,'Master Akun'!$A$4:$E$51,2,FALSE)</f>
        <v>Beban Perawatan AC</v>
      </c>
      <c r="E88" s="136"/>
      <c r="F88" s="137">
        <v>200000</v>
      </c>
      <c r="G88" s="137"/>
      <c r="H88" s="136"/>
      <c r="I88" s="136"/>
      <c r="J88" s="136"/>
      <c r="K88" s="136"/>
      <c r="L88" s="136"/>
      <c r="M88" s="136"/>
      <c r="N88" s="142"/>
    </row>
    <row r="89" spans="1:14" x14ac:dyDescent="0.25">
      <c r="A89" s="283"/>
      <c r="B89" s="136">
        <v>61011</v>
      </c>
      <c r="C89" s="136"/>
      <c r="D89" s="277" t="str">
        <f>VLOOKUP(B89,'Master Akun'!$A$4:$E$51,2,FALSE)</f>
        <v>Beban Perlengkapan Kantor</v>
      </c>
      <c r="E89" s="136"/>
      <c r="F89" s="137">
        <v>50000</v>
      </c>
      <c r="G89" s="137"/>
      <c r="H89" s="136"/>
      <c r="I89" s="136"/>
      <c r="J89" s="136"/>
      <c r="K89" s="136"/>
      <c r="L89" s="136"/>
      <c r="M89" s="136"/>
      <c r="N89" s="142"/>
    </row>
    <row r="90" spans="1:14" ht="16.5" thickBot="1" x14ac:dyDescent="0.3">
      <c r="A90" s="286"/>
      <c r="B90" s="215">
        <v>11201</v>
      </c>
      <c r="C90" s="215"/>
      <c r="D90" s="272" t="str">
        <f>VLOOKUP(B90,'Master Akun'!$A$4:$E$51,2,FALSE)</f>
        <v>Bank BCA</v>
      </c>
      <c r="E90" s="215"/>
      <c r="F90" s="244"/>
      <c r="G90" s="244">
        <f>SUM(F86:F89)</f>
        <v>1250000</v>
      </c>
      <c r="H90" s="215"/>
      <c r="I90" s="215"/>
      <c r="J90" s="215"/>
      <c r="K90" s="215"/>
      <c r="L90" s="215"/>
      <c r="M90" s="215"/>
      <c r="N90" s="216"/>
    </row>
    <row r="91" spans="1:14" x14ac:dyDescent="0.25">
      <c r="A91" s="248">
        <v>38746</v>
      </c>
      <c r="B91" s="132">
        <v>11101</v>
      </c>
      <c r="C91" s="132" t="s">
        <v>137</v>
      </c>
      <c r="D91" s="274" t="str">
        <f>VLOOKUP(B91,'Master Akun'!$A$4:$E$51,2,FALSE)</f>
        <v>Kas Ditangan</v>
      </c>
      <c r="E91" s="132"/>
      <c r="F91" s="133">
        <v>5500000</v>
      </c>
      <c r="G91" s="133"/>
      <c r="H91" s="132"/>
      <c r="I91" s="132"/>
      <c r="J91" s="132"/>
      <c r="K91" s="132"/>
      <c r="L91" s="132"/>
      <c r="M91" s="132"/>
      <c r="N91" s="140"/>
    </row>
    <row r="92" spans="1:14" x14ac:dyDescent="0.25">
      <c r="A92" s="283"/>
      <c r="B92" s="136">
        <v>12202</v>
      </c>
      <c r="C92" s="136"/>
      <c r="D92" s="277" t="str">
        <f>VLOOKUP(B92,'Master Akun'!$A$4:$E$51,2,FALSE)</f>
        <v>Akm Peny Kendaraan</v>
      </c>
      <c r="E92" s="136"/>
      <c r="F92" s="137">
        <v>1500000</v>
      </c>
      <c r="G92" s="137"/>
      <c r="H92" s="136"/>
      <c r="I92" s="136"/>
      <c r="J92" s="136"/>
      <c r="K92" s="136"/>
      <c r="L92" s="136"/>
      <c r="M92" s="136"/>
      <c r="N92" s="142"/>
    </row>
    <row r="93" spans="1:14" x14ac:dyDescent="0.25">
      <c r="A93" s="283"/>
      <c r="B93" s="136">
        <v>12201</v>
      </c>
      <c r="C93" s="136"/>
      <c r="D93" s="277" t="str">
        <f>VLOOKUP(B93,'Master Akun'!$A$4:$E$51,2,FALSE)</f>
        <v>Kendaraan</v>
      </c>
      <c r="E93" s="136"/>
      <c r="F93" s="137"/>
      <c r="G93" s="137">
        <v>6000000</v>
      </c>
      <c r="H93" s="136"/>
      <c r="I93" s="136"/>
      <c r="J93" s="136"/>
      <c r="K93" s="136"/>
      <c r="L93" s="136"/>
      <c r="M93" s="136"/>
      <c r="N93" s="142"/>
    </row>
    <row r="94" spans="1:14" ht="16.5" thickBot="1" x14ac:dyDescent="0.3">
      <c r="A94" s="286"/>
      <c r="B94" s="215">
        <v>81001</v>
      </c>
      <c r="C94" s="215"/>
      <c r="D94" s="272" t="str">
        <f>VLOOKUP(B94,'Master Akun'!$A$4:$E$51,2,FALSE)</f>
        <v>Laba Penjualan Aktiva Tetap</v>
      </c>
      <c r="E94" s="215"/>
      <c r="F94" s="244"/>
      <c r="G94" s="244">
        <v>1000000</v>
      </c>
      <c r="H94" s="215"/>
      <c r="I94" s="215"/>
      <c r="J94" s="215"/>
      <c r="K94" s="215"/>
      <c r="L94" s="215"/>
      <c r="M94" s="215"/>
      <c r="N94" s="216"/>
    </row>
    <row r="95" spans="1:14" x14ac:dyDescent="0.25">
      <c r="A95" s="248">
        <v>38746</v>
      </c>
      <c r="B95" s="288">
        <v>11101</v>
      </c>
      <c r="C95" s="132" t="s">
        <v>138</v>
      </c>
      <c r="D95" s="274" t="str">
        <f>VLOOKUP(B95,'Master Akun'!$A$4:$E$51,2,FALSE)</f>
        <v>Kas Ditangan</v>
      </c>
      <c r="E95" s="132"/>
      <c r="F95" s="133">
        <f>SUM(G96:G98)</f>
        <v>29729500</v>
      </c>
      <c r="G95" s="133"/>
      <c r="H95" s="132"/>
      <c r="I95" s="132"/>
      <c r="J95" s="132"/>
      <c r="K95" s="132"/>
      <c r="L95" s="132"/>
      <c r="M95" s="132"/>
      <c r="N95" s="140"/>
    </row>
    <row r="96" spans="1:14" x14ac:dyDescent="0.25">
      <c r="A96" s="283"/>
      <c r="B96" s="136">
        <v>41000</v>
      </c>
      <c r="C96" s="136"/>
      <c r="D96" s="277" t="str">
        <f>VLOOKUP(B96,'Master Akun'!$A$4:$E$51,2,FALSE)</f>
        <v xml:space="preserve">Penjualan </v>
      </c>
      <c r="E96" s="136"/>
      <c r="F96" s="137"/>
      <c r="G96" s="137">
        <v>26845000</v>
      </c>
      <c r="H96" s="136"/>
      <c r="I96" s="136"/>
      <c r="J96" s="136"/>
      <c r="K96" s="136"/>
      <c r="L96" s="136"/>
      <c r="M96" s="136"/>
      <c r="N96" s="142"/>
    </row>
    <row r="97" spans="1:14" x14ac:dyDescent="0.25">
      <c r="A97" s="283"/>
      <c r="B97" s="136">
        <v>21200</v>
      </c>
      <c r="C97" s="136"/>
      <c r="D97" s="277" t="str">
        <f>VLOOKUP(B97,'Master Akun'!$A$4:$E$51,2,FALSE)</f>
        <v>Pendapatan Diterima Dimuka-Jasa Kirim</v>
      </c>
      <c r="E97" s="136"/>
      <c r="F97" s="137"/>
      <c r="G97" s="137">
        <v>200000</v>
      </c>
      <c r="H97" s="136"/>
      <c r="I97" s="136"/>
      <c r="J97" s="136"/>
      <c r="K97" s="136"/>
      <c r="L97" s="136"/>
      <c r="M97" s="136"/>
      <c r="N97" s="142"/>
    </row>
    <row r="98" spans="1:14" x14ac:dyDescent="0.25">
      <c r="A98" s="283"/>
      <c r="B98" s="136">
        <v>21403</v>
      </c>
      <c r="C98" s="136"/>
      <c r="D98" s="277" t="str">
        <f>VLOOKUP(B98,'Master Akun'!$A$4:$E$51,2,FALSE)</f>
        <v>PPN Keluaran</v>
      </c>
      <c r="E98" s="136"/>
      <c r="F98" s="137"/>
      <c r="G98" s="137">
        <f>G96*10%</f>
        <v>2684500</v>
      </c>
      <c r="H98" s="136"/>
      <c r="I98" s="136"/>
      <c r="J98" s="136"/>
      <c r="K98" s="136"/>
      <c r="L98" s="136"/>
      <c r="M98" s="136"/>
      <c r="N98" s="142"/>
    </row>
    <row r="99" spans="1:14" x14ac:dyDescent="0.25">
      <c r="A99" s="283" t="s">
        <v>140</v>
      </c>
      <c r="B99" s="136">
        <v>51000</v>
      </c>
      <c r="C99" s="136"/>
      <c r="D99" s="277" t="str">
        <f>VLOOKUP(B99,'Master Akun'!$A$4:$E$51,2,FALSE)</f>
        <v>Harga Pokok Penjualan</v>
      </c>
      <c r="E99" s="136"/>
      <c r="F99" s="137">
        <f>SUM(G100:G101)</f>
        <v>23375000</v>
      </c>
      <c r="G99" s="137"/>
      <c r="H99" s="136"/>
      <c r="I99" s="136"/>
      <c r="J99" s="136"/>
      <c r="K99" s="136"/>
      <c r="L99" s="136"/>
      <c r="M99" s="136"/>
      <c r="N99" s="142"/>
    </row>
    <row r="100" spans="1:14" x14ac:dyDescent="0.25">
      <c r="A100" s="283"/>
      <c r="B100" s="136">
        <v>11500</v>
      </c>
      <c r="C100" s="136"/>
      <c r="D100" s="277" t="str">
        <f>VLOOKUP(B100,'Master Akun'!$A$4:$E$51,2,FALSE)</f>
        <v>Persediaan Barang Dagang</v>
      </c>
      <c r="E100" s="136"/>
      <c r="F100" s="137"/>
      <c r="G100" s="137">
        <f>N100</f>
        <v>12000000</v>
      </c>
      <c r="H100" s="136" t="s">
        <v>83</v>
      </c>
      <c r="I100" s="136"/>
      <c r="J100" s="136"/>
      <c r="K100" s="136"/>
      <c r="L100" s="136">
        <v>10</v>
      </c>
      <c r="M100" s="136">
        <v>1200000</v>
      </c>
      <c r="N100" s="142">
        <f>L100*M100</f>
        <v>12000000</v>
      </c>
    </row>
    <row r="101" spans="1:14" ht="16.5" thickBot="1" x14ac:dyDescent="0.3">
      <c r="A101" s="284"/>
      <c r="B101" s="144">
        <v>11500</v>
      </c>
      <c r="C101" s="144"/>
      <c r="D101" s="280" t="str">
        <f>VLOOKUP(B101,'Master Akun'!$A$4:$E$51,2,FALSE)</f>
        <v>Persediaan Barang Dagang</v>
      </c>
      <c r="E101" s="144"/>
      <c r="F101" s="145"/>
      <c r="G101" s="145">
        <f>N101</f>
        <v>11375000</v>
      </c>
      <c r="H101" s="144" t="s">
        <v>84</v>
      </c>
      <c r="I101" s="144"/>
      <c r="J101" s="144"/>
      <c r="K101" s="144"/>
      <c r="L101" s="144">
        <v>35</v>
      </c>
      <c r="M101" s="144">
        <v>325000</v>
      </c>
      <c r="N101" s="146">
        <f>L101*M101</f>
        <v>11375000</v>
      </c>
    </row>
    <row r="102" spans="1:14" x14ac:dyDescent="0.25">
      <c r="A102" s="248">
        <v>38748</v>
      </c>
      <c r="B102" s="132">
        <v>11101</v>
      </c>
      <c r="C102" s="132" t="s">
        <v>141</v>
      </c>
      <c r="D102" s="274" t="str">
        <f>VLOOKUP(B102,'Master Akun'!$A$4:$E$51,2,FALSE)</f>
        <v>Kas Ditangan</v>
      </c>
      <c r="E102" s="132"/>
      <c r="F102" s="133">
        <v>500000</v>
      </c>
      <c r="G102" s="133"/>
      <c r="H102" s="132"/>
      <c r="I102" s="132"/>
      <c r="J102" s="132"/>
      <c r="K102" s="132"/>
      <c r="L102" s="132"/>
      <c r="M102" s="132"/>
      <c r="N102" s="140"/>
    </row>
    <row r="103" spans="1:14" ht="16.5" thickBot="1" x14ac:dyDescent="0.3">
      <c r="A103" s="286"/>
      <c r="B103" s="215">
        <v>11401</v>
      </c>
      <c r="C103" s="215"/>
      <c r="D103" s="272" t="str">
        <f>VLOOKUP(B103,'Master Akun'!$A$4:$E$51,2,FALSE)</f>
        <v>Piutang Karyawan</v>
      </c>
      <c r="E103" s="215"/>
      <c r="F103" s="244"/>
      <c r="G103" s="244">
        <v>500000</v>
      </c>
      <c r="H103" s="215"/>
      <c r="I103" s="215"/>
      <c r="J103" s="215"/>
      <c r="K103" s="215"/>
      <c r="L103" s="215"/>
      <c r="M103" s="215"/>
      <c r="N103" s="216"/>
    </row>
    <row r="104" spans="1:14" x14ac:dyDescent="0.25">
      <c r="A104" s="248">
        <v>38748</v>
      </c>
      <c r="B104" s="132">
        <v>61001</v>
      </c>
      <c r="C104" s="132" t="s">
        <v>142</v>
      </c>
      <c r="D104" s="274" t="str">
        <f>VLOOKUP(B104,'Master Akun'!$A$4:$E$51,2,FALSE)</f>
        <v>Beban Gaji Keryawan</v>
      </c>
      <c r="E104" s="132"/>
      <c r="F104" s="133">
        <v>14500000</v>
      </c>
      <c r="G104" s="133"/>
      <c r="H104" s="132"/>
      <c r="I104" s="132"/>
      <c r="J104" s="132"/>
      <c r="K104" s="132"/>
      <c r="L104" s="132"/>
      <c r="M104" s="132"/>
      <c r="N104" s="140"/>
    </row>
    <row r="105" spans="1:14" x14ac:dyDescent="0.25">
      <c r="A105" s="284"/>
      <c r="B105" s="144">
        <v>11201</v>
      </c>
      <c r="C105" s="144"/>
      <c r="D105" s="280" t="str">
        <f>VLOOKUP(B105,'Master Akun'!$A$4:$E$51,2,FALSE)</f>
        <v>Bank BCA</v>
      </c>
      <c r="E105" s="144"/>
      <c r="F105" s="145"/>
      <c r="G105" s="145">
        <v>13775000</v>
      </c>
      <c r="H105" s="144"/>
      <c r="I105" s="144"/>
      <c r="J105" s="144"/>
      <c r="K105" s="144"/>
      <c r="L105" s="144"/>
      <c r="M105" s="144"/>
      <c r="N105" s="146"/>
    </row>
    <row r="106" spans="1:14" ht="16.5" thickBot="1" x14ac:dyDescent="0.3">
      <c r="A106" s="289"/>
      <c r="B106" s="290">
        <v>21401</v>
      </c>
      <c r="C106" s="290"/>
      <c r="D106" s="285" t="str">
        <f>VLOOKUP(B106,'Master Akun'!$A$4:$E$51,2,FALSE)</f>
        <v>Hutang PPh pasal 21</v>
      </c>
      <c r="E106" s="290"/>
      <c r="F106" s="291"/>
      <c r="G106" s="291">
        <v>725000</v>
      </c>
      <c r="H106" s="290"/>
      <c r="I106" s="290"/>
      <c r="J106" s="290"/>
      <c r="K106" s="290"/>
      <c r="L106" s="290"/>
      <c r="M106" s="290"/>
      <c r="N106" s="292"/>
    </row>
    <row r="107" spans="1:14" x14ac:dyDescent="0.25">
      <c r="A107" s="293">
        <v>38748</v>
      </c>
      <c r="B107" s="274">
        <v>61006</v>
      </c>
      <c r="C107" s="274" t="s">
        <v>143</v>
      </c>
      <c r="D107" s="274" t="str">
        <f>VLOOKUP(B107,'Master Akun'!$A$4:$E$51,2,FALSE)</f>
        <v>Beban Penyusutan Peralatan Kantor</v>
      </c>
      <c r="E107" s="274" t="s">
        <v>144</v>
      </c>
      <c r="F107" s="294">
        <v>400000</v>
      </c>
      <c r="G107" s="294"/>
      <c r="H107" s="274"/>
      <c r="I107" s="274"/>
      <c r="J107" s="274"/>
      <c r="K107" s="274"/>
      <c r="L107" s="274"/>
      <c r="M107" s="274"/>
      <c r="N107" s="295"/>
    </row>
    <row r="108" spans="1:14" x14ac:dyDescent="0.25">
      <c r="A108" s="296"/>
      <c r="B108" s="277">
        <v>61007</v>
      </c>
      <c r="C108" s="277"/>
      <c r="D108" s="277" t="str">
        <f>VLOOKUP(B108,'Master Akun'!$A$4:$E$51,2,FALSE)</f>
        <v>Beban Penyusutan Kendaraan</v>
      </c>
      <c r="E108" s="277" t="s">
        <v>144</v>
      </c>
      <c r="F108" s="297">
        <v>500000</v>
      </c>
      <c r="G108" s="297"/>
      <c r="H108" s="277"/>
      <c r="I108" s="277"/>
      <c r="J108" s="277"/>
      <c r="K108" s="277"/>
      <c r="L108" s="277"/>
      <c r="M108" s="277"/>
      <c r="N108" s="298"/>
    </row>
    <row r="109" spans="1:14" x14ac:dyDescent="0.25">
      <c r="A109" s="296"/>
      <c r="B109" s="277">
        <v>12102</v>
      </c>
      <c r="C109" s="277"/>
      <c r="D109" s="277" t="str">
        <f>VLOOKUP(B109,'Master Akun'!$A$4:$E$51,2,FALSE)</f>
        <v>Akm Peny Peralatan Kantor</v>
      </c>
      <c r="E109" s="277" t="s">
        <v>144</v>
      </c>
      <c r="F109" s="297"/>
      <c r="G109" s="297">
        <v>400000</v>
      </c>
      <c r="H109" s="277"/>
      <c r="I109" s="277"/>
      <c r="J109" s="277"/>
      <c r="K109" s="277"/>
      <c r="L109" s="277"/>
      <c r="M109" s="277"/>
      <c r="N109" s="298"/>
    </row>
    <row r="110" spans="1:14" ht="16.5" thickBot="1" x14ac:dyDescent="0.3">
      <c r="A110" s="299"/>
      <c r="B110" s="272">
        <v>12202</v>
      </c>
      <c r="C110" s="272"/>
      <c r="D110" s="272" t="str">
        <f>VLOOKUP(B110,'Master Akun'!$A$4:$E$51,2,FALSE)</f>
        <v>Akm Peny Kendaraan</v>
      </c>
      <c r="E110" s="272" t="s">
        <v>144</v>
      </c>
      <c r="F110" s="300"/>
      <c r="G110" s="300">
        <v>500000</v>
      </c>
      <c r="H110" s="272"/>
      <c r="I110" s="272"/>
      <c r="J110" s="272"/>
      <c r="K110" s="272"/>
      <c r="L110" s="272"/>
      <c r="M110" s="272"/>
      <c r="N110" s="301"/>
    </row>
    <row r="111" spans="1:14" x14ac:dyDescent="0.25">
      <c r="A111" s="293">
        <v>38748</v>
      </c>
      <c r="B111" s="274">
        <v>91002</v>
      </c>
      <c r="C111" s="274" t="s">
        <v>209</v>
      </c>
      <c r="D111" s="274" t="str">
        <f>VLOOKUP(B111,'Master Akun'!$A$4:$E$51,2,FALSE)</f>
        <v>Beban Bunga</v>
      </c>
      <c r="E111" s="274" t="s">
        <v>144</v>
      </c>
      <c r="F111" s="294">
        <v>1500000</v>
      </c>
      <c r="G111" s="294"/>
      <c r="H111" s="274"/>
      <c r="I111" s="274"/>
      <c r="J111" s="274"/>
      <c r="K111" s="274"/>
      <c r="L111" s="274"/>
      <c r="M111" s="274"/>
      <c r="N111" s="295"/>
    </row>
    <row r="112" spans="1:14" ht="16.5" thickBot="1" x14ac:dyDescent="0.3">
      <c r="A112" s="299"/>
      <c r="B112" s="272">
        <v>21300</v>
      </c>
      <c r="C112" s="272"/>
      <c r="D112" s="272" t="str">
        <f>VLOOKUP(B112,'Master Akun'!$A$4:$E$51,2,FALSE)</f>
        <v>Hutang Bunga</v>
      </c>
      <c r="E112" s="272" t="s">
        <v>144</v>
      </c>
      <c r="F112" s="300"/>
      <c r="G112" s="300">
        <v>1500000</v>
      </c>
      <c r="H112" s="272"/>
      <c r="I112" s="272"/>
      <c r="J112" s="272"/>
      <c r="K112" s="272"/>
      <c r="L112" s="272"/>
      <c r="M112" s="272"/>
      <c r="N112" s="301"/>
    </row>
    <row r="113" spans="1:14" x14ac:dyDescent="0.25">
      <c r="A113" s="293">
        <v>38748</v>
      </c>
      <c r="B113" s="274">
        <v>61003</v>
      </c>
      <c r="C113" s="274" t="s">
        <v>210</v>
      </c>
      <c r="D113" s="274" t="str">
        <f>VLOOKUP(B113,'Master Akun'!$A$4:$E$51,2,FALSE)</f>
        <v>Beban Piutang Tak Tertagih</v>
      </c>
      <c r="E113" s="274" t="s">
        <v>144</v>
      </c>
      <c r="F113" s="294">
        <v>2901750</v>
      </c>
      <c r="G113" s="294"/>
      <c r="H113" s="274"/>
      <c r="I113" s="274"/>
      <c r="J113" s="274"/>
      <c r="K113" s="274"/>
      <c r="L113" s="274"/>
      <c r="M113" s="274"/>
      <c r="N113" s="295"/>
    </row>
    <row r="114" spans="1:14" ht="16.5" thickBot="1" x14ac:dyDescent="0.3">
      <c r="A114" s="299"/>
      <c r="B114" s="272">
        <v>11302</v>
      </c>
      <c r="C114" s="272"/>
      <c r="D114" s="272" t="str">
        <f>VLOOKUP(B114,'Master Akun'!$A$4:$E$51,2,FALSE)</f>
        <v>Cadangan Piutang Tak Tertagih</v>
      </c>
      <c r="E114" s="272" t="s">
        <v>144</v>
      </c>
      <c r="F114" s="300"/>
      <c r="G114" s="300">
        <v>2901750</v>
      </c>
      <c r="H114" s="272"/>
      <c r="I114" s="272"/>
      <c r="J114" s="272"/>
      <c r="K114" s="272"/>
      <c r="L114" s="272"/>
      <c r="M114" s="272"/>
      <c r="N114" s="301"/>
    </row>
    <row r="115" spans="1:14" x14ac:dyDescent="0.25">
      <c r="A115" s="293">
        <v>38748</v>
      </c>
      <c r="B115" s="274">
        <v>91001</v>
      </c>
      <c r="C115" s="274" t="s">
        <v>211</v>
      </c>
      <c r="D115" s="274" t="str">
        <f>VLOOKUP(B115,'Master Akun'!$A$4:$E$51,2,FALSE)</f>
        <v>Beban Administrasi Bank</v>
      </c>
      <c r="E115" s="274" t="s">
        <v>144</v>
      </c>
      <c r="F115" s="294">
        <v>150000</v>
      </c>
      <c r="G115" s="294"/>
      <c r="H115" s="274"/>
      <c r="I115" s="274"/>
      <c r="J115" s="274"/>
      <c r="K115" s="274"/>
      <c r="L115" s="274"/>
      <c r="M115" s="274"/>
      <c r="N115" s="295"/>
    </row>
    <row r="116" spans="1:14" x14ac:dyDescent="0.25">
      <c r="A116" s="296"/>
      <c r="B116" s="277">
        <v>11201</v>
      </c>
      <c r="C116" s="277"/>
      <c r="D116" s="277" t="str">
        <f>VLOOKUP(B116,'Master Akun'!$A$4:$E$51,2,FALSE)</f>
        <v>Bank BCA</v>
      </c>
      <c r="E116" s="277" t="s">
        <v>144</v>
      </c>
      <c r="F116" s="297">
        <v>1200000</v>
      </c>
      <c r="G116" s="297"/>
      <c r="H116" s="277"/>
      <c r="I116" s="277"/>
      <c r="J116" s="277"/>
      <c r="K116" s="277"/>
      <c r="L116" s="277"/>
      <c r="M116" s="277"/>
      <c r="N116" s="298"/>
    </row>
    <row r="117" spans="1:14" ht="16.5" thickBot="1" x14ac:dyDescent="0.3">
      <c r="A117" s="306"/>
      <c r="B117" s="280">
        <v>81002</v>
      </c>
      <c r="C117" s="280"/>
      <c r="D117" s="280" t="str">
        <f>VLOOKUP(B117,'Master Akun'!$A$4:$E$51,2,FALSE)</f>
        <v>Pendapatan Jasa Giro</v>
      </c>
      <c r="E117" s="280" t="s">
        <v>144</v>
      </c>
      <c r="F117" s="302"/>
      <c r="G117" s="302">
        <v>1350000</v>
      </c>
      <c r="H117" s="280"/>
      <c r="I117" s="280"/>
      <c r="J117" s="280"/>
      <c r="K117" s="280"/>
      <c r="L117" s="280"/>
      <c r="M117" s="280"/>
      <c r="N117" s="303"/>
    </row>
    <row r="118" spans="1:14" ht="16.5" thickBot="1" x14ac:dyDescent="0.3">
      <c r="A118" s="305" t="s">
        <v>50</v>
      </c>
      <c r="B118" s="304"/>
      <c r="C118" s="304"/>
      <c r="D118" s="304"/>
      <c r="E118" s="177"/>
      <c r="F118" s="178">
        <f>SUM(F7:F117)</f>
        <v>481226500</v>
      </c>
      <c r="G118" s="178">
        <f>SUM(G7:G117)</f>
        <v>481226500</v>
      </c>
      <c r="H118" s="177"/>
      <c r="I118" s="177"/>
      <c r="J118" s="177"/>
      <c r="K118" s="177"/>
      <c r="L118" s="177"/>
      <c r="M118" s="177"/>
      <c r="N118" s="220"/>
    </row>
  </sheetData>
  <mergeCells count="14">
    <mergeCell ref="A118:D118"/>
    <mergeCell ref="H5:H6"/>
    <mergeCell ref="I5:K5"/>
    <mergeCell ref="L5:N5"/>
    <mergeCell ref="A1:N1"/>
    <mergeCell ref="A2:N2"/>
    <mergeCell ref="A3:G3"/>
    <mergeCell ref="A5:A6"/>
    <mergeCell ref="B5:B6"/>
    <mergeCell ref="C5:C6"/>
    <mergeCell ref="D5:D6"/>
    <mergeCell ref="E5:E6"/>
    <mergeCell ref="F5:F6"/>
    <mergeCell ref="G5:G6"/>
  </mergeCells>
  <pageMargins left="0.7" right="0.7" top="0.75" bottom="0.75" header="0.3" footer="0.3"/>
  <pageSetup orientation="portrait" horizontalDpi="300" verticalDpi="30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8185EDC-16CD-4550-B490-A4D6958723F2}">
  <dimension ref="A3:R271"/>
  <sheetViews>
    <sheetView showGridLines="0" topLeftCell="A159" zoomScale="85" zoomScaleNormal="85" workbookViewId="0">
      <selection activeCell="C170" sqref="C170"/>
    </sheetView>
  </sheetViews>
  <sheetFormatPr defaultRowHeight="15.75" x14ac:dyDescent="0.25"/>
  <cols>
    <col min="1" max="1" width="9.28515625" style="40" bestFit="1" customWidth="1"/>
    <col min="2" max="2" width="9.140625" style="40"/>
    <col min="3" max="3" width="22" style="40" bestFit="1" customWidth="1"/>
    <col min="4" max="4" width="4.85546875" style="40" customWidth="1"/>
    <col min="5" max="8" width="16" style="40" bestFit="1" customWidth="1"/>
    <col min="9" max="10" width="9.140625" style="40"/>
    <col min="11" max="11" width="9.28515625" style="40" bestFit="1" customWidth="1"/>
    <col min="12" max="12" width="9.140625" style="40"/>
    <col min="13" max="13" width="22" style="40" bestFit="1" customWidth="1"/>
    <col min="14" max="14" width="9.140625" style="40"/>
    <col min="15" max="15" width="14.7109375" style="40" bestFit="1" customWidth="1"/>
    <col min="16" max="16" width="13.5703125" style="40" bestFit="1" customWidth="1"/>
    <col min="17" max="17" width="14.7109375" style="40" bestFit="1" customWidth="1"/>
    <col min="18" max="18" width="13.5703125" style="40" bestFit="1" customWidth="1"/>
    <col min="19" max="16384" width="9.140625" style="40"/>
  </cols>
  <sheetData>
    <row r="3" spans="1:18" ht="16.5" thickBot="1" x14ac:dyDescent="0.3"/>
    <row r="4" spans="1:18" x14ac:dyDescent="0.25">
      <c r="A4" s="224" t="s">
        <v>145</v>
      </c>
      <c r="B4" s="225"/>
      <c r="C4" s="226">
        <v>11101</v>
      </c>
      <c r="D4" s="227"/>
      <c r="E4" s="227"/>
      <c r="F4" s="227"/>
      <c r="G4" s="227"/>
      <c r="H4" s="228"/>
      <c r="K4" s="224" t="s">
        <v>145</v>
      </c>
      <c r="L4" s="225"/>
      <c r="M4" s="226">
        <v>61001</v>
      </c>
      <c r="N4" s="227"/>
      <c r="O4" s="227"/>
      <c r="P4" s="227"/>
      <c r="Q4" s="227"/>
      <c r="R4" s="228"/>
    </row>
    <row r="5" spans="1:18" ht="16.5" thickBot="1" x14ac:dyDescent="0.3">
      <c r="A5" s="229" t="s">
        <v>146</v>
      </c>
      <c r="B5" s="230"/>
      <c r="C5" s="231" t="str">
        <f>VLOOKUP(C4,'Master Akun'!$A$4:$E$52,2,FALSE)</f>
        <v>Kas Ditangan</v>
      </c>
      <c r="D5" s="231"/>
      <c r="E5" s="231"/>
      <c r="F5" s="231"/>
      <c r="G5" s="231"/>
      <c r="H5" s="232"/>
      <c r="K5" s="229" t="s">
        <v>146</v>
      </c>
      <c r="L5" s="230"/>
      <c r="M5" s="231" t="str">
        <f>VLOOKUP(M4,'Master Akun'!$A$4:$E$52,2,FALSE)</f>
        <v>Beban Gaji Keryawan</v>
      </c>
      <c r="N5" s="231"/>
      <c r="O5" s="231"/>
      <c r="P5" s="231"/>
      <c r="Q5" s="231"/>
      <c r="R5" s="232"/>
    </row>
    <row r="6" spans="1:18" x14ac:dyDescent="0.25">
      <c r="A6" s="233" t="s">
        <v>106</v>
      </c>
      <c r="B6" s="234" t="s">
        <v>107</v>
      </c>
      <c r="C6" s="235" t="s">
        <v>55</v>
      </c>
      <c r="D6" s="235" t="s">
        <v>2</v>
      </c>
      <c r="E6" s="235" t="s">
        <v>108</v>
      </c>
      <c r="F6" s="235" t="s">
        <v>4</v>
      </c>
      <c r="G6" s="236" t="s">
        <v>147</v>
      </c>
      <c r="H6" s="237"/>
      <c r="K6" s="233" t="s">
        <v>106</v>
      </c>
      <c r="L6" s="234" t="s">
        <v>107</v>
      </c>
      <c r="M6" s="235" t="s">
        <v>55</v>
      </c>
      <c r="N6" s="235" t="s">
        <v>2</v>
      </c>
      <c r="O6" s="235" t="s">
        <v>108</v>
      </c>
      <c r="P6" s="235" t="s">
        <v>4</v>
      </c>
      <c r="Q6" s="236" t="s">
        <v>147</v>
      </c>
      <c r="R6" s="237"/>
    </row>
    <row r="7" spans="1:18" ht="16.5" thickBot="1" x14ac:dyDescent="0.3">
      <c r="A7" s="238"/>
      <c r="B7" s="239"/>
      <c r="C7" s="240"/>
      <c r="D7" s="240"/>
      <c r="E7" s="240"/>
      <c r="F7" s="240"/>
      <c r="G7" s="241" t="s">
        <v>108</v>
      </c>
      <c r="H7" s="242" t="s">
        <v>4</v>
      </c>
      <c r="K7" s="238"/>
      <c r="L7" s="239"/>
      <c r="M7" s="240"/>
      <c r="N7" s="240"/>
      <c r="O7" s="240"/>
      <c r="P7" s="240"/>
      <c r="Q7" s="241" t="s">
        <v>108</v>
      </c>
      <c r="R7" s="242" t="s">
        <v>4</v>
      </c>
    </row>
    <row r="8" spans="1:18" x14ac:dyDescent="0.25">
      <c r="A8" s="243">
        <v>44197</v>
      </c>
      <c r="B8" s="133"/>
      <c r="C8" s="133" t="s">
        <v>148</v>
      </c>
      <c r="D8" s="133"/>
      <c r="E8" s="133"/>
      <c r="F8" s="133"/>
      <c r="G8" s="133">
        <f>VLOOKUP(C4,'Master Akun'!$A$4:$E$51,4,FALSE)</f>
        <v>2500000</v>
      </c>
      <c r="H8" s="134"/>
      <c r="K8" s="243">
        <v>44197</v>
      </c>
      <c r="L8" s="133"/>
      <c r="M8" s="133" t="s">
        <v>148</v>
      </c>
      <c r="N8" s="133"/>
      <c r="O8" s="133"/>
      <c r="P8" s="133"/>
      <c r="Q8" s="132">
        <f>VLOOKUP(M4,'Master Akun'!$A$4:$E$51,4,FALSE)</f>
        <v>0</v>
      </c>
      <c r="R8" s="134"/>
    </row>
    <row r="9" spans="1:18" x14ac:dyDescent="0.25">
      <c r="A9" s="213">
        <v>44227</v>
      </c>
      <c r="B9" s="136"/>
      <c r="C9" s="136" t="s">
        <v>188</v>
      </c>
      <c r="D9" s="136"/>
      <c r="E9" s="137">
        <f ca="1">SUMIF('Jurnal Umum'!B9:$G$105,'Buku Besar'!C4,'Jurnal Umum'!$F$9:$F$105)</f>
        <v>60685750</v>
      </c>
      <c r="F9" s="136"/>
      <c r="G9" s="137">
        <f ca="1">G8+E9-F9</f>
        <v>63185750</v>
      </c>
      <c r="H9" s="142"/>
      <c r="K9" s="213">
        <v>44227</v>
      </c>
      <c r="L9" s="136"/>
      <c r="M9" s="136" t="s">
        <v>188</v>
      </c>
      <c r="N9" s="136"/>
      <c r="O9" s="137">
        <f ca="1">SUMIF('Jurnal Umum'!$B$7:$G$117,'Buku Besar'!M4,'Jurnal Umum'!$F$7:$F$117)</f>
        <v>14500000</v>
      </c>
      <c r="P9" s="136"/>
      <c r="Q9" s="137">
        <f ca="1">Q8+O9-P9</f>
        <v>14500000</v>
      </c>
      <c r="R9" s="138"/>
    </row>
    <row r="10" spans="1:18" ht="16.5" thickBot="1" x14ac:dyDescent="0.3">
      <c r="A10" s="214">
        <v>44227</v>
      </c>
      <c r="B10" s="215"/>
      <c r="C10" s="215" t="s">
        <v>187</v>
      </c>
      <c r="D10" s="215"/>
      <c r="E10" s="215"/>
      <c r="F10" s="244">
        <f ca="1">SUMIF('Jurnal Umum'!$B$9:$G$105,'Buku Besar'!C4,'Jurnal Umum'!$G$9:$G$105)</f>
        <v>412500</v>
      </c>
      <c r="G10" s="244">
        <f ca="1">G9+E10-F10</f>
        <v>62773250</v>
      </c>
      <c r="H10" s="216"/>
      <c r="K10" s="214">
        <v>44227</v>
      </c>
      <c r="L10" s="215"/>
      <c r="M10" s="215" t="s">
        <v>187</v>
      </c>
      <c r="N10" s="215"/>
      <c r="O10" s="215"/>
      <c r="P10" s="244">
        <f ca="1">SUMIF('Jurnal Umum'!$B$7:$G$117,'Buku Besar'!M4,'Jurnal Umum'!$G$7:$G$117)</f>
        <v>0</v>
      </c>
      <c r="Q10" s="244">
        <f ca="1">Q9+O10-P10</f>
        <v>14500000</v>
      </c>
      <c r="R10" s="245"/>
    </row>
    <row r="12" spans="1:18" ht="16.5" thickBot="1" x14ac:dyDescent="0.3"/>
    <row r="13" spans="1:18" x14ac:dyDescent="0.25">
      <c r="A13" s="224" t="s">
        <v>145</v>
      </c>
      <c r="B13" s="225"/>
      <c r="C13" s="226">
        <v>11102</v>
      </c>
      <c r="D13" s="227"/>
      <c r="E13" s="227"/>
      <c r="F13" s="227"/>
      <c r="G13" s="227"/>
      <c r="H13" s="228"/>
      <c r="K13" s="224" t="s">
        <v>145</v>
      </c>
      <c r="L13" s="225"/>
      <c r="M13" s="226">
        <v>61002</v>
      </c>
      <c r="N13" s="227"/>
      <c r="O13" s="227"/>
      <c r="P13" s="227"/>
      <c r="Q13" s="227"/>
      <c r="R13" s="228"/>
    </row>
    <row r="14" spans="1:18" ht="16.5" thickBot="1" x14ac:dyDescent="0.3">
      <c r="A14" s="229" t="s">
        <v>146</v>
      </c>
      <c r="B14" s="230"/>
      <c r="C14" s="231" t="str">
        <f>VLOOKUP(C13,'Master Akun'!$A$4:$E$52,2,FALSE)</f>
        <v>Kas Kecil</v>
      </c>
      <c r="D14" s="231"/>
      <c r="E14" s="231"/>
      <c r="F14" s="231"/>
      <c r="G14" s="231"/>
      <c r="H14" s="232"/>
      <c r="K14" s="229" t="s">
        <v>146</v>
      </c>
      <c r="L14" s="230"/>
      <c r="M14" s="231" t="str">
        <f>VLOOKUP(M13,'Master Akun'!$A$4:$E$52,2,FALSE)</f>
        <v>Beban Sewa</v>
      </c>
      <c r="N14" s="231"/>
      <c r="O14" s="231"/>
      <c r="P14" s="231"/>
      <c r="Q14" s="231"/>
      <c r="R14" s="232"/>
    </row>
    <row r="15" spans="1:18" x14ac:dyDescent="0.25">
      <c r="A15" s="233" t="s">
        <v>106</v>
      </c>
      <c r="B15" s="234" t="s">
        <v>107</v>
      </c>
      <c r="C15" s="235" t="s">
        <v>55</v>
      </c>
      <c r="D15" s="235" t="s">
        <v>2</v>
      </c>
      <c r="E15" s="235" t="s">
        <v>108</v>
      </c>
      <c r="F15" s="235" t="s">
        <v>4</v>
      </c>
      <c r="G15" s="236" t="s">
        <v>147</v>
      </c>
      <c r="H15" s="237"/>
      <c r="K15" s="233" t="s">
        <v>106</v>
      </c>
      <c r="L15" s="234" t="s">
        <v>107</v>
      </c>
      <c r="M15" s="235" t="s">
        <v>55</v>
      </c>
      <c r="N15" s="235" t="s">
        <v>2</v>
      </c>
      <c r="O15" s="235" t="s">
        <v>108</v>
      </c>
      <c r="P15" s="235" t="s">
        <v>4</v>
      </c>
      <c r="Q15" s="236" t="s">
        <v>147</v>
      </c>
      <c r="R15" s="237"/>
    </row>
    <row r="16" spans="1:18" ht="16.5" thickBot="1" x14ac:dyDescent="0.3">
      <c r="A16" s="238"/>
      <c r="B16" s="239"/>
      <c r="C16" s="240"/>
      <c r="D16" s="240"/>
      <c r="E16" s="240"/>
      <c r="F16" s="240"/>
      <c r="G16" s="241" t="s">
        <v>108</v>
      </c>
      <c r="H16" s="242" t="s">
        <v>4</v>
      </c>
      <c r="K16" s="238"/>
      <c r="L16" s="239"/>
      <c r="M16" s="240"/>
      <c r="N16" s="240"/>
      <c r="O16" s="240"/>
      <c r="P16" s="240"/>
      <c r="Q16" s="241" t="s">
        <v>108</v>
      </c>
      <c r="R16" s="242" t="s">
        <v>4</v>
      </c>
    </row>
    <row r="17" spans="1:18" x14ac:dyDescent="0.25">
      <c r="A17" s="243">
        <v>44197</v>
      </c>
      <c r="B17" s="133"/>
      <c r="C17" s="133" t="s">
        <v>148</v>
      </c>
      <c r="D17" s="133"/>
      <c r="E17" s="133"/>
      <c r="F17" s="133"/>
      <c r="G17" s="133">
        <f>VLOOKUP(C13,'Master Akun'!$A$4:$E$51,4,FALSE)</f>
        <v>750000</v>
      </c>
      <c r="H17" s="134"/>
      <c r="K17" s="243">
        <v>44197</v>
      </c>
      <c r="L17" s="133"/>
      <c r="M17" s="133" t="s">
        <v>148</v>
      </c>
      <c r="N17" s="133"/>
      <c r="O17" s="133"/>
      <c r="P17" s="133"/>
      <c r="Q17" s="132">
        <f>VLOOKUP(M13,'Master Akun'!$A$4:$E$51,4,FALSE)</f>
        <v>0</v>
      </c>
      <c r="R17" s="134"/>
    </row>
    <row r="18" spans="1:18" x14ac:dyDescent="0.25">
      <c r="A18" s="213">
        <v>44227</v>
      </c>
      <c r="B18" s="136"/>
      <c r="C18" s="136" t="s">
        <v>188</v>
      </c>
      <c r="D18" s="136"/>
      <c r="E18" s="137">
        <f ca="1">SUMIF('Jurnal Umum'!$B$9:$G$105,'Buku Besar'!C13,'Jurnal Umum'!$F$9:$F$105)</f>
        <v>0</v>
      </c>
      <c r="F18" s="136"/>
      <c r="G18" s="137">
        <f ca="1">G17+E18-F18</f>
        <v>750000</v>
      </c>
      <c r="H18" s="142"/>
      <c r="K18" s="213">
        <v>44227</v>
      </c>
      <c r="L18" s="136"/>
      <c r="M18" s="136" t="s">
        <v>188</v>
      </c>
      <c r="N18" s="136"/>
      <c r="O18" s="137">
        <f ca="1">SUMIF('Jurnal Umum'!$B$7:$G$117,'Buku Besar'!M13,'Jurnal Umum'!$F$7:$F$117)</f>
        <v>2500000</v>
      </c>
      <c r="P18" s="136"/>
      <c r="Q18" s="137">
        <f ca="1">Q17+O18-P18</f>
        <v>2500000</v>
      </c>
      <c r="R18" s="138"/>
    </row>
    <row r="19" spans="1:18" ht="16.5" thickBot="1" x14ac:dyDescent="0.3">
      <c r="A19" s="214">
        <v>44227</v>
      </c>
      <c r="B19" s="215"/>
      <c r="C19" s="215" t="s">
        <v>187</v>
      </c>
      <c r="D19" s="215"/>
      <c r="E19" s="215"/>
      <c r="F19" s="244">
        <f ca="1">SUMIF('Jurnal Umum'!$B$9:$G$105,'Buku Besar'!C13,'Jurnal Umum'!$G$9:$G$105)</f>
        <v>0</v>
      </c>
      <c r="G19" s="244">
        <f ca="1">G18+E19-F19</f>
        <v>750000</v>
      </c>
      <c r="H19" s="216"/>
      <c r="K19" s="214">
        <v>44227</v>
      </c>
      <c r="L19" s="215"/>
      <c r="M19" s="215" t="s">
        <v>187</v>
      </c>
      <c r="N19" s="215"/>
      <c r="O19" s="215"/>
      <c r="P19" s="244">
        <f ca="1">SUMIF('Jurnal Umum'!$B$7:$G$117,'Buku Besar'!M13,'Jurnal Umum'!$G$7:$G$117)</f>
        <v>0</v>
      </c>
      <c r="Q19" s="244">
        <f ca="1">Q18+O19-P19</f>
        <v>2500000</v>
      </c>
      <c r="R19" s="245"/>
    </row>
    <row r="21" spans="1:18" ht="16.5" thickBot="1" x14ac:dyDescent="0.3"/>
    <row r="22" spans="1:18" x14ac:dyDescent="0.25">
      <c r="A22" s="224" t="s">
        <v>145</v>
      </c>
      <c r="B22" s="225"/>
      <c r="C22" s="226">
        <v>11201</v>
      </c>
      <c r="D22" s="227"/>
      <c r="E22" s="227"/>
      <c r="F22" s="227"/>
      <c r="G22" s="227"/>
      <c r="H22" s="228"/>
      <c r="K22" s="224" t="s">
        <v>145</v>
      </c>
      <c r="L22" s="225"/>
      <c r="M22" s="226">
        <v>61003</v>
      </c>
      <c r="N22" s="227"/>
      <c r="O22" s="227"/>
      <c r="P22" s="227"/>
      <c r="Q22" s="227"/>
      <c r="R22" s="228"/>
    </row>
    <row r="23" spans="1:18" ht="16.5" thickBot="1" x14ac:dyDescent="0.3">
      <c r="A23" s="229" t="s">
        <v>146</v>
      </c>
      <c r="B23" s="230"/>
      <c r="C23" s="231" t="str">
        <f>VLOOKUP(C22,'Master Akun'!$A$4:$E$52,2,FALSE)</f>
        <v>Bank BCA</v>
      </c>
      <c r="D23" s="231"/>
      <c r="E23" s="231"/>
      <c r="F23" s="231"/>
      <c r="G23" s="231"/>
      <c r="H23" s="232"/>
      <c r="K23" s="229" t="s">
        <v>146</v>
      </c>
      <c r="L23" s="230"/>
      <c r="M23" s="231" t="str">
        <f>VLOOKUP(M22,'Master Akun'!$A$4:$E$52,2,FALSE)</f>
        <v>Beban Piutang Tak Tertagih</v>
      </c>
      <c r="N23" s="231"/>
      <c r="O23" s="231"/>
      <c r="P23" s="231"/>
      <c r="Q23" s="231"/>
      <c r="R23" s="232"/>
    </row>
    <row r="24" spans="1:18" ht="15" customHeight="1" x14ac:dyDescent="0.25">
      <c r="A24" s="233" t="s">
        <v>106</v>
      </c>
      <c r="B24" s="234" t="s">
        <v>107</v>
      </c>
      <c r="C24" s="235" t="s">
        <v>55</v>
      </c>
      <c r="D24" s="235" t="s">
        <v>2</v>
      </c>
      <c r="E24" s="235" t="s">
        <v>108</v>
      </c>
      <c r="F24" s="235" t="s">
        <v>4</v>
      </c>
      <c r="G24" s="236" t="s">
        <v>147</v>
      </c>
      <c r="H24" s="237"/>
      <c r="K24" s="233" t="s">
        <v>106</v>
      </c>
      <c r="L24" s="234" t="s">
        <v>107</v>
      </c>
      <c r="M24" s="235" t="s">
        <v>55</v>
      </c>
      <c r="N24" s="235" t="s">
        <v>2</v>
      </c>
      <c r="O24" s="235" t="s">
        <v>108</v>
      </c>
      <c r="P24" s="235" t="s">
        <v>4</v>
      </c>
      <c r="Q24" s="236" t="s">
        <v>147</v>
      </c>
      <c r="R24" s="237"/>
    </row>
    <row r="25" spans="1:18" ht="16.5" thickBot="1" x14ac:dyDescent="0.3">
      <c r="A25" s="238"/>
      <c r="B25" s="239"/>
      <c r="C25" s="240"/>
      <c r="D25" s="240"/>
      <c r="E25" s="240"/>
      <c r="F25" s="240"/>
      <c r="G25" s="241" t="s">
        <v>108</v>
      </c>
      <c r="H25" s="242" t="s">
        <v>4</v>
      </c>
      <c r="K25" s="238"/>
      <c r="L25" s="239"/>
      <c r="M25" s="240"/>
      <c r="N25" s="240"/>
      <c r="O25" s="240"/>
      <c r="P25" s="240"/>
      <c r="Q25" s="241" t="s">
        <v>108</v>
      </c>
      <c r="R25" s="242" t="s">
        <v>4</v>
      </c>
    </row>
    <row r="26" spans="1:18" x14ac:dyDescent="0.25">
      <c r="A26" s="243">
        <v>44197</v>
      </c>
      <c r="B26" s="133"/>
      <c r="C26" s="133" t="s">
        <v>148</v>
      </c>
      <c r="D26" s="133"/>
      <c r="E26" s="133"/>
      <c r="F26" s="133"/>
      <c r="G26" s="133">
        <f>VLOOKUP(C22,'Master Akun'!$A$4:$E$51,4,FALSE)</f>
        <v>45000000</v>
      </c>
      <c r="H26" s="134"/>
      <c r="K26" s="243">
        <v>44197</v>
      </c>
      <c r="L26" s="133"/>
      <c r="M26" s="133" t="s">
        <v>148</v>
      </c>
      <c r="N26" s="133"/>
      <c r="O26" s="133"/>
      <c r="P26" s="133"/>
      <c r="Q26" s="132">
        <f>VLOOKUP(M22,'Master Akun'!$A$4:$E$51,4,FALSE)</f>
        <v>0</v>
      </c>
      <c r="R26" s="134"/>
    </row>
    <row r="27" spans="1:18" x14ac:dyDescent="0.25">
      <c r="A27" s="213">
        <v>44227</v>
      </c>
      <c r="B27" s="136"/>
      <c r="C27" s="136" t="s">
        <v>188</v>
      </c>
      <c r="D27" s="136"/>
      <c r="E27" s="137">
        <f ca="1">SUMIF('Jurnal Umum'!$B$7:$G$117,'Buku Besar'!C22,'Jurnal Umum'!$F$7:$F$117)</f>
        <v>45900000</v>
      </c>
      <c r="F27" s="136"/>
      <c r="G27" s="137">
        <f ca="1">G26+E27-F27</f>
        <v>90900000</v>
      </c>
      <c r="H27" s="142"/>
      <c r="K27" s="213">
        <v>44227</v>
      </c>
      <c r="L27" s="136"/>
      <c r="M27" s="136" t="s">
        <v>188</v>
      </c>
      <c r="N27" s="136"/>
      <c r="O27" s="137">
        <f ca="1">SUMIF('Jurnal Umum'!$B$7:$G$117,'Buku Besar'!M22,'Jurnal Umum'!$F$7:$F$117)</f>
        <v>2901750</v>
      </c>
      <c r="P27" s="136"/>
      <c r="Q27" s="137">
        <f ca="1">Q26+O27-P27</f>
        <v>2901750</v>
      </c>
      <c r="R27" s="138"/>
    </row>
    <row r="28" spans="1:18" ht="16.5" thickBot="1" x14ac:dyDescent="0.3">
      <c r="A28" s="214">
        <v>44227</v>
      </c>
      <c r="B28" s="215"/>
      <c r="C28" s="215" t="s">
        <v>187</v>
      </c>
      <c r="D28" s="215"/>
      <c r="E28" s="215"/>
      <c r="F28" s="244">
        <f ca="1">SUMIF('Jurnal Umum'!$B$7:$G$117,'Buku Besar'!C22,'Jurnal Umum'!$G$7:$G$117)</f>
        <v>69025000</v>
      </c>
      <c r="G28" s="244">
        <f ca="1">G27+E28-F28</f>
        <v>21875000</v>
      </c>
      <c r="H28" s="216"/>
      <c r="K28" s="214">
        <v>44227</v>
      </c>
      <c r="L28" s="215"/>
      <c r="M28" s="215" t="s">
        <v>187</v>
      </c>
      <c r="N28" s="215"/>
      <c r="O28" s="215"/>
      <c r="P28" s="244">
        <f ca="1">SUMIF('Jurnal Umum'!$B$7:$G$117,'Buku Besar'!M22,'Jurnal Umum'!$G$7:$G$117)</f>
        <v>0</v>
      </c>
      <c r="Q28" s="244">
        <f ca="1">Q27+O28-P28</f>
        <v>2901750</v>
      </c>
      <c r="R28" s="245"/>
    </row>
    <row r="30" spans="1:18" ht="16.5" thickBot="1" x14ac:dyDescent="0.3"/>
    <row r="31" spans="1:18" x14ac:dyDescent="0.25">
      <c r="A31" s="224" t="s">
        <v>145</v>
      </c>
      <c r="B31" s="225"/>
      <c r="C31" s="226">
        <v>11202</v>
      </c>
      <c r="D31" s="227"/>
      <c r="E31" s="227"/>
      <c r="F31" s="227"/>
      <c r="G31" s="227"/>
      <c r="H31" s="228"/>
      <c r="K31" s="224" t="s">
        <v>145</v>
      </c>
      <c r="L31" s="225"/>
      <c r="M31" s="226">
        <v>61004</v>
      </c>
      <c r="N31" s="227"/>
      <c r="O31" s="227"/>
      <c r="P31" s="227"/>
      <c r="Q31" s="227"/>
      <c r="R31" s="228"/>
    </row>
    <row r="32" spans="1:18" ht="16.5" thickBot="1" x14ac:dyDescent="0.3">
      <c r="A32" s="229" t="s">
        <v>146</v>
      </c>
      <c r="B32" s="230"/>
      <c r="C32" s="231" t="str">
        <f>VLOOKUP(C31,'Master Akun'!$A$4:$E$52,2,FALSE)</f>
        <v>Bank Mandiri</v>
      </c>
      <c r="D32" s="231"/>
      <c r="E32" s="231"/>
      <c r="F32" s="231"/>
      <c r="G32" s="231"/>
      <c r="H32" s="232"/>
      <c r="K32" s="229" t="s">
        <v>146</v>
      </c>
      <c r="L32" s="230"/>
      <c r="M32" s="231" t="str">
        <f>VLOOKUP(M31,'Master Akun'!$A$4:$E$52,2,FALSE)</f>
        <v>Beban Listrik</v>
      </c>
      <c r="N32" s="231"/>
      <c r="O32" s="231"/>
      <c r="P32" s="231"/>
      <c r="Q32" s="231"/>
      <c r="R32" s="232"/>
    </row>
    <row r="33" spans="1:18" ht="15" customHeight="1" x14ac:dyDescent="0.25">
      <c r="A33" s="233" t="s">
        <v>106</v>
      </c>
      <c r="B33" s="234" t="s">
        <v>107</v>
      </c>
      <c r="C33" s="235" t="s">
        <v>55</v>
      </c>
      <c r="D33" s="235" t="s">
        <v>2</v>
      </c>
      <c r="E33" s="235" t="s">
        <v>108</v>
      </c>
      <c r="F33" s="235" t="s">
        <v>4</v>
      </c>
      <c r="G33" s="236" t="s">
        <v>147</v>
      </c>
      <c r="H33" s="237"/>
      <c r="K33" s="233" t="s">
        <v>106</v>
      </c>
      <c r="L33" s="234" t="s">
        <v>107</v>
      </c>
      <c r="M33" s="235" t="s">
        <v>55</v>
      </c>
      <c r="N33" s="235" t="s">
        <v>2</v>
      </c>
      <c r="O33" s="235" t="s">
        <v>108</v>
      </c>
      <c r="P33" s="235" t="s">
        <v>4</v>
      </c>
      <c r="Q33" s="236" t="s">
        <v>147</v>
      </c>
      <c r="R33" s="237"/>
    </row>
    <row r="34" spans="1:18" ht="16.5" thickBot="1" x14ac:dyDescent="0.3">
      <c r="A34" s="238"/>
      <c r="B34" s="239"/>
      <c r="C34" s="240"/>
      <c r="D34" s="240"/>
      <c r="E34" s="240"/>
      <c r="F34" s="240"/>
      <c r="G34" s="241" t="s">
        <v>108</v>
      </c>
      <c r="H34" s="242" t="s">
        <v>4</v>
      </c>
      <c r="K34" s="238"/>
      <c r="L34" s="239"/>
      <c r="M34" s="240"/>
      <c r="N34" s="240"/>
      <c r="O34" s="240"/>
      <c r="P34" s="240"/>
      <c r="Q34" s="241" t="s">
        <v>108</v>
      </c>
      <c r="R34" s="242" t="s">
        <v>4</v>
      </c>
    </row>
    <row r="35" spans="1:18" x14ac:dyDescent="0.25">
      <c r="A35" s="243">
        <v>44197</v>
      </c>
      <c r="B35" s="133"/>
      <c r="C35" s="133" t="s">
        <v>148</v>
      </c>
      <c r="D35" s="133"/>
      <c r="E35" s="133"/>
      <c r="F35" s="133"/>
      <c r="G35" s="133">
        <f>VLOOKUP(C31,'Master Akun'!$A$4:$E$51,4,FALSE)</f>
        <v>25000000</v>
      </c>
      <c r="H35" s="134"/>
      <c r="K35" s="243">
        <v>44197</v>
      </c>
      <c r="L35" s="133"/>
      <c r="M35" s="133" t="s">
        <v>148</v>
      </c>
      <c r="N35" s="133"/>
      <c r="O35" s="133"/>
      <c r="P35" s="133"/>
      <c r="Q35" s="132">
        <f>VLOOKUP(M31,'Master Akun'!$A$4:$E$51,4,FALSE)</f>
        <v>0</v>
      </c>
      <c r="R35" s="134"/>
    </row>
    <row r="36" spans="1:18" x14ac:dyDescent="0.25">
      <c r="A36" s="213">
        <v>44227</v>
      </c>
      <c r="B36" s="136"/>
      <c r="C36" s="136" t="s">
        <v>188</v>
      </c>
      <c r="D36" s="136"/>
      <c r="E36" s="137">
        <f ca="1">SUMIF('Jurnal Umum'!$B$7:$G$117,'Buku Besar'!C31,'Jurnal Umum'!$F$7:$F$117)</f>
        <v>73409000</v>
      </c>
      <c r="F36" s="136"/>
      <c r="G36" s="137">
        <f ca="1">G35+E36-F36</f>
        <v>98409000</v>
      </c>
      <c r="H36" s="142"/>
      <c r="K36" s="213">
        <v>44227</v>
      </c>
      <c r="L36" s="136"/>
      <c r="M36" s="136" t="s">
        <v>188</v>
      </c>
      <c r="N36" s="136"/>
      <c r="O36" s="137">
        <f ca="1">SUMIF('Jurnal Umum'!$B$7:$G$117,'Buku Besar'!M31,'Jurnal Umum'!$F$7:$F$117)</f>
        <v>175000</v>
      </c>
      <c r="P36" s="136"/>
      <c r="Q36" s="137">
        <f ca="1">Q35+O36-P36</f>
        <v>175000</v>
      </c>
      <c r="R36" s="138"/>
    </row>
    <row r="37" spans="1:18" ht="16.5" thickBot="1" x14ac:dyDescent="0.3">
      <c r="A37" s="214">
        <v>44227</v>
      </c>
      <c r="B37" s="215"/>
      <c r="C37" s="215" t="s">
        <v>187</v>
      </c>
      <c r="D37" s="215"/>
      <c r="E37" s="215"/>
      <c r="F37" s="244">
        <f ca="1">SUMIF('Jurnal Umum'!$B$7:$G$117,'Buku Besar'!C31,'Jurnal Umum'!$G$7:$G$117)</f>
        <v>44887500</v>
      </c>
      <c r="G37" s="244">
        <f ca="1">G36+E37-F37</f>
        <v>53521500</v>
      </c>
      <c r="H37" s="216"/>
      <c r="K37" s="214">
        <v>44227</v>
      </c>
      <c r="L37" s="215"/>
      <c r="M37" s="215" t="s">
        <v>187</v>
      </c>
      <c r="N37" s="215"/>
      <c r="O37" s="215"/>
      <c r="P37" s="244">
        <f ca="1">SUMIF('Jurnal Umum'!$B$7:$G$117,'Buku Besar'!M31,'Jurnal Umum'!$G$7:$G$117)</f>
        <v>0</v>
      </c>
      <c r="Q37" s="244">
        <f ca="1">Q36+O37-P37</f>
        <v>175000</v>
      </c>
      <c r="R37" s="245"/>
    </row>
    <row r="39" spans="1:18" ht="16.5" thickBot="1" x14ac:dyDescent="0.3"/>
    <row r="40" spans="1:18" x14ac:dyDescent="0.25">
      <c r="A40" s="224" t="s">
        <v>145</v>
      </c>
      <c r="B40" s="225"/>
      <c r="C40" s="226">
        <v>11301</v>
      </c>
      <c r="D40" s="227"/>
      <c r="E40" s="227"/>
      <c r="F40" s="227"/>
      <c r="G40" s="227"/>
      <c r="H40" s="228"/>
      <c r="K40" s="224" t="s">
        <v>145</v>
      </c>
      <c r="L40" s="225"/>
      <c r="M40" s="226">
        <v>61005</v>
      </c>
      <c r="N40" s="227"/>
      <c r="O40" s="227"/>
      <c r="P40" s="227"/>
      <c r="Q40" s="227"/>
      <c r="R40" s="228"/>
    </row>
    <row r="41" spans="1:18" ht="16.5" thickBot="1" x14ac:dyDescent="0.3">
      <c r="A41" s="229" t="s">
        <v>146</v>
      </c>
      <c r="B41" s="230"/>
      <c r="C41" s="231" t="str">
        <f>VLOOKUP(C40,'Master Akun'!$A$4:$E$52,2,FALSE)</f>
        <v>Piutang Usaha</v>
      </c>
      <c r="D41" s="231"/>
      <c r="E41" s="231"/>
      <c r="F41" s="231"/>
      <c r="G41" s="231"/>
      <c r="H41" s="232"/>
      <c r="K41" s="229" t="s">
        <v>146</v>
      </c>
      <c r="L41" s="230"/>
      <c r="M41" s="231" t="str">
        <f>VLOOKUP(M40,'Master Akun'!$A$4:$E$52,2,FALSE)</f>
        <v>Beban Telepon</v>
      </c>
      <c r="N41" s="231"/>
      <c r="O41" s="231"/>
      <c r="P41" s="231"/>
      <c r="Q41" s="231"/>
      <c r="R41" s="232"/>
    </row>
    <row r="42" spans="1:18" ht="15" customHeight="1" x14ac:dyDescent="0.25">
      <c r="A42" s="233" t="s">
        <v>106</v>
      </c>
      <c r="B42" s="234" t="s">
        <v>107</v>
      </c>
      <c r="C42" s="235" t="s">
        <v>55</v>
      </c>
      <c r="D42" s="235" t="s">
        <v>2</v>
      </c>
      <c r="E42" s="235" t="s">
        <v>108</v>
      </c>
      <c r="F42" s="235" t="s">
        <v>4</v>
      </c>
      <c r="G42" s="236" t="s">
        <v>147</v>
      </c>
      <c r="H42" s="237"/>
      <c r="K42" s="233" t="s">
        <v>106</v>
      </c>
      <c r="L42" s="234" t="s">
        <v>107</v>
      </c>
      <c r="M42" s="235" t="s">
        <v>55</v>
      </c>
      <c r="N42" s="235" t="s">
        <v>2</v>
      </c>
      <c r="O42" s="235" t="s">
        <v>108</v>
      </c>
      <c r="P42" s="235" t="s">
        <v>4</v>
      </c>
      <c r="Q42" s="236" t="s">
        <v>147</v>
      </c>
      <c r="R42" s="237"/>
    </row>
    <row r="43" spans="1:18" ht="16.5" thickBot="1" x14ac:dyDescent="0.3">
      <c r="A43" s="238"/>
      <c r="B43" s="239"/>
      <c r="C43" s="240"/>
      <c r="D43" s="240"/>
      <c r="E43" s="240"/>
      <c r="F43" s="240"/>
      <c r="G43" s="241" t="s">
        <v>108</v>
      </c>
      <c r="H43" s="242" t="s">
        <v>4</v>
      </c>
      <c r="K43" s="238"/>
      <c r="L43" s="239"/>
      <c r="M43" s="240"/>
      <c r="N43" s="240"/>
      <c r="O43" s="240"/>
      <c r="P43" s="240"/>
      <c r="Q43" s="241" t="s">
        <v>108</v>
      </c>
      <c r="R43" s="242" t="s">
        <v>4</v>
      </c>
    </row>
    <row r="44" spans="1:18" x14ac:dyDescent="0.25">
      <c r="A44" s="243">
        <v>44197</v>
      </c>
      <c r="B44" s="133"/>
      <c r="C44" s="133" t="s">
        <v>148</v>
      </c>
      <c r="D44" s="133"/>
      <c r="E44" s="133"/>
      <c r="F44" s="133"/>
      <c r="G44" s="133">
        <f>VLOOKUP(C40,'Master Akun'!$A$4:$E$51,4,FALSE)</f>
        <v>47500000</v>
      </c>
      <c r="H44" s="134"/>
      <c r="K44" s="243">
        <v>44197</v>
      </c>
      <c r="L44" s="133"/>
      <c r="M44" s="133" t="s">
        <v>148</v>
      </c>
      <c r="N44" s="133"/>
      <c r="O44" s="133"/>
      <c r="P44" s="133"/>
      <c r="Q44" s="132">
        <f>VLOOKUP(M40,'Master Akun'!$A$4:$E$51,4,FALSE)</f>
        <v>0</v>
      </c>
      <c r="R44" s="134"/>
    </row>
    <row r="45" spans="1:18" x14ac:dyDescent="0.25">
      <c r="A45" s="213">
        <v>44227</v>
      </c>
      <c r="B45" s="136"/>
      <c r="C45" s="136" t="s">
        <v>188</v>
      </c>
      <c r="D45" s="136"/>
      <c r="E45" s="137">
        <f ca="1">SUMIF('Jurnal Umum'!$B$7:$G$117,'Buku Besar'!C40,'Jurnal Umum'!$F$7:$F$117)</f>
        <v>59960000</v>
      </c>
      <c r="F45" s="136"/>
      <c r="G45" s="137">
        <f ca="1">G44+E45-F45</f>
        <v>107460000</v>
      </c>
      <c r="H45" s="142"/>
      <c r="K45" s="213">
        <v>44227</v>
      </c>
      <c r="L45" s="136"/>
      <c r="M45" s="136" t="s">
        <v>188</v>
      </c>
      <c r="N45" s="136"/>
      <c r="O45" s="137">
        <f ca="1">SUMIF('Jurnal Umum'!$B$7:$G$117,'Buku Besar'!M40,'Jurnal Umum'!$F$7:$F$117)</f>
        <v>212500</v>
      </c>
      <c r="P45" s="136"/>
      <c r="Q45" s="137">
        <f ca="1">Q44+O45-P45</f>
        <v>212500</v>
      </c>
      <c r="R45" s="138"/>
    </row>
    <row r="46" spans="1:18" ht="16.5" thickBot="1" x14ac:dyDescent="0.3">
      <c r="A46" s="214">
        <v>44227</v>
      </c>
      <c r="B46" s="215"/>
      <c r="C46" s="215" t="s">
        <v>187</v>
      </c>
      <c r="D46" s="215"/>
      <c r="E46" s="215"/>
      <c r="F46" s="244">
        <f ca="1">SUMIF('Jurnal Umum'!$B$7:$G$117,'Buku Besar'!C40,'Jurnal Umum'!$G$7:$G$117)</f>
        <v>49425000</v>
      </c>
      <c r="G46" s="244">
        <f ca="1">G45+E46-F46</f>
        <v>58035000</v>
      </c>
      <c r="H46" s="216"/>
      <c r="K46" s="214">
        <v>44227</v>
      </c>
      <c r="L46" s="215"/>
      <c r="M46" s="215" t="s">
        <v>187</v>
      </c>
      <c r="N46" s="215"/>
      <c r="O46" s="215"/>
      <c r="P46" s="244">
        <f ca="1">SUMIF('Jurnal Umum'!$B$7:$G$117,'Buku Besar'!M40,'Jurnal Umum'!$G$7:$G$117)</f>
        <v>0</v>
      </c>
      <c r="Q46" s="244">
        <f ca="1">Q45+O46-P46</f>
        <v>212500</v>
      </c>
      <c r="R46" s="245"/>
    </row>
    <row r="48" spans="1:18" ht="16.5" thickBot="1" x14ac:dyDescent="0.3"/>
    <row r="49" spans="1:18" x14ac:dyDescent="0.25">
      <c r="A49" s="224" t="s">
        <v>145</v>
      </c>
      <c r="B49" s="225"/>
      <c r="C49" s="226">
        <v>11302</v>
      </c>
      <c r="D49" s="227"/>
      <c r="E49" s="227"/>
      <c r="F49" s="227"/>
      <c r="G49" s="227"/>
      <c r="H49" s="228"/>
      <c r="K49" s="224" t="s">
        <v>145</v>
      </c>
      <c r="L49" s="225"/>
      <c r="M49" s="226">
        <v>61006</v>
      </c>
      <c r="N49" s="227"/>
      <c r="O49" s="227"/>
      <c r="P49" s="227"/>
      <c r="Q49" s="227"/>
      <c r="R49" s="228"/>
    </row>
    <row r="50" spans="1:18" ht="16.5" thickBot="1" x14ac:dyDescent="0.3">
      <c r="A50" s="229" t="s">
        <v>146</v>
      </c>
      <c r="B50" s="230"/>
      <c r="C50" s="231" t="str">
        <f>VLOOKUP(C49,'Master Akun'!$A$4:$E$52,2,FALSE)</f>
        <v>Cadangan Piutang Tak Tertagih</v>
      </c>
      <c r="D50" s="231"/>
      <c r="E50" s="231"/>
      <c r="F50" s="231"/>
      <c r="G50" s="231"/>
      <c r="H50" s="232"/>
      <c r="K50" s="229" t="s">
        <v>146</v>
      </c>
      <c r="L50" s="230"/>
      <c r="M50" s="231" t="str">
        <f>VLOOKUP(M49,'Master Akun'!$A$4:$E$52,2,FALSE)</f>
        <v>Beban Penyusutan Peralatan Kantor</v>
      </c>
      <c r="N50" s="231"/>
      <c r="O50" s="231"/>
      <c r="P50" s="231"/>
      <c r="Q50" s="231"/>
      <c r="R50" s="232"/>
    </row>
    <row r="51" spans="1:18" ht="15" customHeight="1" x14ac:dyDescent="0.25">
      <c r="A51" s="233" t="s">
        <v>106</v>
      </c>
      <c r="B51" s="234" t="s">
        <v>107</v>
      </c>
      <c r="C51" s="235" t="s">
        <v>55</v>
      </c>
      <c r="D51" s="235" t="s">
        <v>2</v>
      </c>
      <c r="E51" s="235" t="s">
        <v>108</v>
      </c>
      <c r="F51" s="235" t="s">
        <v>4</v>
      </c>
      <c r="G51" s="236" t="s">
        <v>147</v>
      </c>
      <c r="H51" s="237"/>
      <c r="K51" s="233" t="s">
        <v>106</v>
      </c>
      <c r="L51" s="234" t="s">
        <v>107</v>
      </c>
      <c r="M51" s="235" t="s">
        <v>55</v>
      </c>
      <c r="N51" s="235" t="s">
        <v>2</v>
      </c>
      <c r="O51" s="235" t="s">
        <v>108</v>
      </c>
      <c r="P51" s="235" t="s">
        <v>4</v>
      </c>
      <c r="Q51" s="236" t="s">
        <v>147</v>
      </c>
      <c r="R51" s="237"/>
    </row>
    <row r="52" spans="1:18" ht="16.5" thickBot="1" x14ac:dyDescent="0.3">
      <c r="A52" s="238"/>
      <c r="B52" s="239"/>
      <c r="C52" s="240"/>
      <c r="D52" s="240"/>
      <c r="E52" s="240"/>
      <c r="F52" s="240"/>
      <c r="G52" s="241" t="s">
        <v>108</v>
      </c>
      <c r="H52" s="242" t="s">
        <v>4</v>
      </c>
      <c r="K52" s="238"/>
      <c r="L52" s="239"/>
      <c r="M52" s="240"/>
      <c r="N52" s="240"/>
      <c r="O52" s="240"/>
      <c r="P52" s="240"/>
      <c r="Q52" s="241" t="s">
        <v>108</v>
      </c>
      <c r="R52" s="242" t="s">
        <v>4</v>
      </c>
    </row>
    <row r="53" spans="1:18" x14ac:dyDescent="0.25">
      <c r="A53" s="243">
        <v>44197</v>
      </c>
      <c r="B53" s="133"/>
      <c r="C53" s="133" t="s">
        <v>148</v>
      </c>
      <c r="D53" s="133"/>
      <c r="E53" s="133"/>
      <c r="F53" s="133"/>
      <c r="G53" s="133">
        <f>VLOOKUP(C49,'Master Akun'!$A$4:$E$51,4,FALSE)</f>
        <v>0</v>
      </c>
      <c r="H53" s="134"/>
      <c r="K53" s="243">
        <v>44197</v>
      </c>
      <c r="L53" s="133"/>
      <c r="M53" s="133" t="s">
        <v>148</v>
      </c>
      <c r="N53" s="133"/>
      <c r="O53" s="133"/>
      <c r="P53" s="133"/>
      <c r="Q53" s="132">
        <f>VLOOKUP(M49,'Master Akun'!$A$4:$E$51,4,FALSE)</f>
        <v>0</v>
      </c>
      <c r="R53" s="134"/>
    </row>
    <row r="54" spans="1:18" x14ac:dyDescent="0.25">
      <c r="A54" s="213">
        <v>44227</v>
      </c>
      <c r="B54" s="136"/>
      <c r="C54" s="136" t="s">
        <v>188</v>
      </c>
      <c r="D54" s="136"/>
      <c r="E54" s="137">
        <f ca="1">SUMIF('Jurnal Umum'!$B$7:$G$117,'Buku Besar'!C49,'Jurnal Umum'!$F$7:$F$117)</f>
        <v>0</v>
      </c>
      <c r="F54" s="136"/>
      <c r="G54" s="137">
        <f ca="1">G53+E54-F54</f>
        <v>0</v>
      </c>
      <c r="H54" s="142"/>
      <c r="K54" s="213">
        <v>44227</v>
      </c>
      <c r="L54" s="136"/>
      <c r="M54" s="136" t="s">
        <v>188</v>
      </c>
      <c r="N54" s="136"/>
      <c r="O54" s="137">
        <f ca="1">SUMIF('Jurnal Umum'!$B$7:$G$117,'Buku Besar'!M49,'Jurnal Umum'!$F$7:$F$117)</f>
        <v>400000</v>
      </c>
      <c r="P54" s="136"/>
      <c r="Q54" s="137">
        <f ca="1">Q53+O54-P54</f>
        <v>400000</v>
      </c>
      <c r="R54" s="138"/>
    </row>
    <row r="55" spans="1:18" ht="16.5" thickBot="1" x14ac:dyDescent="0.3">
      <c r="A55" s="214">
        <v>44227</v>
      </c>
      <c r="B55" s="215"/>
      <c r="C55" s="215" t="s">
        <v>187</v>
      </c>
      <c r="D55" s="215"/>
      <c r="E55" s="215"/>
      <c r="F55" s="244">
        <f ca="1">SUMIF('Jurnal Umum'!$B$7:$G$117,'Buku Besar'!C49,'Jurnal Umum'!$G$7:$G$117)</f>
        <v>2901750</v>
      </c>
      <c r="G55" s="244"/>
      <c r="H55" s="245">
        <f ca="1">F55</f>
        <v>2901750</v>
      </c>
      <c r="K55" s="214">
        <v>44227</v>
      </c>
      <c r="L55" s="215"/>
      <c r="M55" s="215" t="s">
        <v>187</v>
      </c>
      <c r="N55" s="215"/>
      <c r="O55" s="215"/>
      <c r="P55" s="244">
        <f ca="1">SUMIF('Jurnal Umum'!$B$7:$G$117,'Buku Besar'!M49,'Jurnal Umum'!$G$7:$G$117)</f>
        <v>0</v>
      </c>
      <c r="Q55" s="244">
        <f ca="1">Q54+O55-P55</f>
        <v>400000</v>
      </c>
      <c r="R55" s="245"/>
    </row>
    <row r="57" spans="1:18" ht="16.5" thickBot="1" x14ac:dyDescent="0.3"/>
    <row r="58" spans="1:18" x14ac:dyDescent="0.25">
      <c r="A58" s="224" t="s">
        <v>145</v>
      </c>
      <c r="B58" s="225"/>
      <c r="C58" s="226">
        <v>11401</v>
      </c>
      <c r="D58" s="227"/>
      <c r="E58" s="227"/>
      <c r="F58" s="227"/>
      <c r="G58" s="227"/>
      <c r="H58" s="228"/>
      <c r="K58" s="224" t="s">
        <v>145</v>
      </c>
      <c r="L58" s="225"/>
      <c r="M58" s="226">
        <v>61007</v>
      </c>
      <c r="N58" s="227"/>
      <c r="O58" s="227"/>
      <c r="P58" s="227"/>
      <c r="Q58" s="227"/>
      <c r="R58" s="228"/>
    </row>
    <row r="59" spans="1:18" ht="16.5" thickBot="1" x14ac:dyDescent="0.3">
      <c r="A59" s="229" t="s">
        <v>146</v>
      </c>
      <c r="B59" s="230"/>
      <c r="C59" s="231" t="str">
        <f>VLOOKUP(C58,'Master Akun'!$A$4:$E$52,2,FALSE)</f>
        <v>Piutang Karyawan</v>
      </c>
      <c r="D59" s="231"/>
      <c r="E59" s="231"/>
      <c r="F59" s="231"/>
      <c r="G59" s="231"/>
      <c r="H59" s="232"/>
      <c r="K59" s="229" t="s">
        <v>146</v>
      </c>
      <c r="L59" s="230"/>
      <c r="M59" s="231" t="str">
        <f>VLOOKUP(M58,'Master Akun'!$A$4:$E$52,2,FALSE)</f>
        <v>Beban Penyusutan Kendaraan</v>
      </c>
      <c r="N59" s="231"/>
      <c r="O59" s="231"/>
      <c r="P59" s="231"/>
      <c r="Q59" s="231"/>
      <c r="R59" s="232"/>
    </row>
    <row r="60" spans="1:18" ht="15" customHeight="1" x14ac:dyDescent="0.25">
      <c r="A60" s="233" t="s">
        <v>106</v>
      </c>
      <c r="B60" s="234" t="s">
        <v>107</v>
      </c>
      <c r="C60" s="235" t="s">
        <v>55</v>
      </c>
      <c r="D60" s="235" t="s">
        <v>2</v>
      </c>
      <c r="E60" s="235" t="s">
        <v>108</v>
      </c>
      <c r="F60" s="235" t="s">
        <v>4</v>
      </c>
      <c r="G60" s="236" t="s">
        <v>147</v>
      </c>
      <c r="H60" s="237"/>
      <c r="K60" s="233" t="s">
        <v>106</v>
      </c>
      <c r="L60" s="234" t="s">
        <v>107</v>
      </c>
      <c r="M60" s="235" t="s">
        <v>55</v>
      </c>
      <c r="N60" s="235" t="s">
        <v>2</v>
      </c>
      <c r="O60" s="235" t="s">
        <v>108</v>
      </c>
      <c r="P60" s="235" t="s">
        <v>4</v>
      </c>
      <c r="Q60" s="236" t="s">
        <v>147</v>
      </c>
      <c r="R60" s="237"/>
    </row>
    <row r="61" spans="1:18" ht="16.5" thickBot="1" x14ac:dyDescent="0.3">
      <c r="A61" s="238"/>
      <c r="B61" s="239"/>
      <c r="C61" s="240"/>
      <c r="D61" s="240"/>
      <c r="E61" s="240"/>
      <c r="F61" s="240"/>
      <c r="G61" s="241" t="s">
        <v>108</v>
      </c>
      <c r="H61" s="242" t="s">
        <v>4</v>
      </c>
      <c r="K61" s="238"/>
      <c r="L61" s="239"/>
      <c r="M61" s="240"/>
      <c r="N61" s="240"/>
      <c r="O61" s="240"/>
      <c r="P61" s="240"/>
      <c r="Q61" s="241" t="s">
        <v>108</v>
      </c>
      <c r="R61" s="242" t="s">
        <v>4</v>
      </c>
    </row>
    <row r="62" spans="1:18" x14ac:dyDescent="0.25">
      <c r="A62" s="243">
        <v>44197</v>
      </c>
      <c r="B62" s="133"/>
      <c r="C62" s="133" t="s">
        <v>148</v>
      </c>
      <c r="D62" s="133"/>
      <c r="E62" s="133"/>
      <c r="F62" s="133"/>
      <c r="G62" s="133">
        <f>VLOOKUP(C58,'Master Akun'!$A$4:$E$51,4,FALSE)</f>
        <v>0</v>
      </c>
      <c r="H62" s="134"/>
      <c r="K62" s="243">
        <v>44197</v>
      </c>
      <c r="L62" s="133"/>
      <c r="M62" s="133" t="s">
        <v>148</v>
      </c>
      <c r="N62" s="133"/>
      <c r="O62" s="133"/>
      <c r="P62" s="133"/>
      <c r="Q62" s="132">
        <f>VLOOKUP(M58,'Master Akun'!$A$4:$E$51,4,FALSE)</f>
        <v>0</v>
      </c>
      <c r="R62" s="134"/>
    </row>
    <row r="63" spans="1:18" x14ac:dyDescent="0.25">
      <c r="A63" s="213">
        <v>44227</v>
      </c>
      <c r="B63" s="136"/>
      <c r="C63" s="136" t="s">
        <v>188</v>
      </c>
      <c r="D63" s="136"/>
      <c r="E63" s="137">
        <f ca="1">SUMIF('Jurnal Umum'!$B$7:$G$117,'Buku Besar'!C58,'Jurnal Umum'!$F$7:$F$117)</f>
        <v>2500000</v>
      </c>
      <c r="F63" s="136"/>
      <c r="G63" s="137">
        <f ca="1">G62+E63-F63</f>
        <v>2500000</v>
      </c>
      <c r="H63" s="142"/>
      <c r="K63" s="213">
        <v>44227</v>
      </c>
      <c r="L63" s="136"/>
      <c r="M63" s="136" t="s">
        <v>188</v>
      </c>
      <c r="N63" s="136"/>
      <c r="O63" s="137">
        <f ca="1">SUMIF('Jurnal Umum'!$B$7:$G$117,'Buku Besar'!M58,'Jurnal Umum'!$F$7:$F$117)</f>
        <v>500000</v>
      </c>
      <c r="P63" s="136"/>
      <c r="Q63" s="137">
        <f ca="1">Q62+O63-P63</f>
        <v>500000</v>
      </c>
      <c r="R63" s="138"/>
    </row>
    <row r="64" spans="1:18" ht="16.5" thickBot="1" x14ac:dyDescent="0.3">
      <c r="A64" s="214">
        <v>44227</v>
      </c>
      <c r="B64" s="215"/>
      <c r="C64" s="215" t="s">
        <v>187</v>
      </c>
      <c r="D64" s="215"/>
      <c r="E64" s="215"/>
      <c r="F64" s="244">
        <f ca="1">SUMIF('Jurnal Umum'!$B$7:$G$117,'Buku Besar'!C58,'Jurnal Umum'!$G$7:$G$117)</f>
        <v>500000</v>
      </c>
      <c r="G64" s="244">
        <f ca="1">G63+E64-F64</f>
        <v>2000000</v>
      </c>
      <c r="H64" s="216"/>
      <c r="K64" s="214">
        <v>44227</v>
      </c>
      <c r="L64" s="215"/>
      <c r="M64" s="215" t="s">
        <v>187</v>
      </c>
      <c r="N64" s="215"/>
      <c r="O64" s="215"/>
      <c r="P64" s="244">
        <f ca="1">SUMIF('Jurnal Umum'!$B$7:$G$117,'Buku Besar'!M58,'Jurnal Umum'!$G$7:$G$117)</f>
        <v>0</v>
      </c>
      <c r="Q64" s="244">
        <f ca="1">Q63+O64-P64</f>
        <v>500000</v>
      </c>
      <c r="R64" s="245"/>
    </row>
    <row r="66" spans="1:18" ht="16.5" thickBot="1" x14ac:dyDescent="0.3"/>
    <row r="67" spans="1:18" x14ac:dyDescent="0.25">
      <c r="A67" s="224" t="s">
        <v>145</v>
      </c>
      <c r="B67" s="225"/>
      <c r="C67" s="226">
        <v>11500</v>
      </c>
      <c r="D67" s="227"/>
      <c r="E67" s="227"/>
      <c r="F67" s="227"/>
      <c r="G67" s="227"/>
      <c r="H67" s="228"/>
      <c r="K67" s="224" t="s">
        <v>145</v>
      </c>
      <c r="L67" s="225"/>
      <c r="M67" s="226">
        <v>61008</v>
      </c>
      <c r="N67" s="227"/>
      <c r="O67" s="227"/>
      <c r="P67" s="227"/>
      <c r="Q67" s="227"/>
      <c r="R67" s="228"/>
    </row>
    <row r="68" spans="1:18" ht="16.5" thickBot="1" x14ac:dyDescent="0.3">
      <c r="A68" s="229" t="s">
        <v>146</v>
      </c>
      <c r="B68" s="230"/>
      <c r="C68" s="231" t="str">
        <f>VLOOKUP(C67,'Master Akun'!$A$4:$E$52,2,FALSE)</f>
        <v>Persediaan Barang Dagang</v>
      </c>
      <c r="D68" s="231"/>
      <c r="E68" s="231"/>
      <c r="F68" s="231"/>
      <c r="G68" s="231"/>
      <c r="H68" s="232"/>
      <c r="K68" s="229" t="s">
        <v>146</v>
      </c>
      <c r="L68" s="230"/>
      <c r="M68" s="231" t="str">
        <f>VLOOKUP(M67,'Master Akun'!$A$4:$E$52,2,FALSE)</f>
        <v>Beban Pemasaran</v>
      </c>
      <c r="N68" s="231"/>
      <c r="O68" s="231"/>
      <c r="P68" s="231"/>
      <c r="Q68" s="231"/>
      <c r="R68" s="232"/>
    </row>
    <row r="69" spans="1:18" ht="15" customHeight="1" x14ac:dyDescent="0.25">
      <c r="A69" s="233" t="s">
        <v>106</v>
      </c>
      <c r="B69" s="234" t="s">
        <v>107</v>
      </c>
      <c r="C69" s="235" t="s">
        <v>55</v>
      </c>
      <c r="D69" s="235" t="s">
        <v>2</v>
      </c>
      <c r="E69" s="235" t="s">
        <v>108</v>
      </c>
      <c r="F69" s="235" t="s">
        <v>4</v>
      </c>
      <c r="G69" s="236" t="s">
        <v>147</v>
      </c>
      <c r="H69" s="237"/>
      <c r="K69" s="233" t="s">
        <v>106</v>
      </c>
      <c r="L69" s="234" t="s">
        <v>107</v>
      </c>
      <c r="M69" s="235" t="s">
        <v>55</v>
      </c>
      <c r="N69" s="235" t="s">
        <v>2</v>
      </c>
      <c r="O69" s="235" t="s">
        <v>108</v>
      </c>
      <c r="P69" s="235" t="s">
        <v>4</v>
      </c>
      <c r="Q69" s="236" t="s">
        <v>147</v>
      </c>
      <c r="R69" s="237"/>
    </row>
    <row r="70" spans="1:18" ht="16.5" thickBot="1" x14ac:dyDescent="0.3">
      <c r="A70" s="238"/>
      <c r="B70" s="239"/>
      <c r="C70" s="240"/>
      <c r="D70" s="240"/>
      <c r="E70" s="240"/>
      <c r="F70" s="240"/>
      <c r="G70" s="241" t="s">
        <v>108</v>
      </c>
      <c r="H70" s="242" t="s">
        <v>4</v>
      </c>
      <c r="K70" s="238"/>
      <c r="L70" s="239"/>
      <c r="M70" s="240"/>
      <c r="N70" s="240"/>
      <c r="O70" s="240"/>
      <c r="P70" s="240"/>
      <c r="Q70" s="241" t="s">
        <v>108</v>
      </c>
      <c r="R70" s="242" t="s">
        <v>4</v>
      </c>
    </row>
    <row r="71" spans="1:18" x14ac:dyDescent="0.25">
      <c r="A71" s="243">
        <v>44197</v>
      </c>
      <c r="B71" s="133"/>
      <c r="C71" s="133" t="s">
        <v>148</v>
      </c>
      <c r="D71" s="133"/>
      <c r="E71" s="133"/>
      <c r="F71" s="133"/>
      <c r="G71" s="133">
        <f>VLOOKUP(C67,'Master Akun'!$A$4:$E$51,4,FALSE)</f>
        <v>166380000</v>
      </c>
      <c r="H71" s="134"/>
      <c r="K71" s="243">
        <v>44197</v>
      </c>
      <c r="L71" s="133"/>
      <c r="M71" s="133" t="s">
        <v>148</v>
      </c>
      <c r="N71" s="133"/>
      <c r="O71" s="133"/>
      <c r="P71" s="133"/>
      <c r="Q71" s="132">
        <f>VLOOKUP(M67,'Master Akun'!$A$4:$E$51,4,FALSE)</f>
        <v>0</v>
      </c>
      <c r="R71" s="134"/>
    </row>
    <row r="72" spans="1:18" x14ac:dyDescent="0.25">
      <c r="A72" s="213">
        <v>44227</v>
      </c>
      <c r="B72" s="136"/>
      <c r="C72" s="136" t="s">
        <v>188</v>
      </c>
      <c r="D72" s="136"/>
      <c r="E72" s="137">
        <f ca="1">SUMIF('Jurnal Umum'!$B$7:$G$117,'Buku Besar'!C67,'Jurnal Umum'!$F$7:$F$117)</f>
        <v>23475000</v>
      </c>
      <c r="F72" s="136"/>
      <c r="G72" s="137">
        <f ca="1">G71+E72-F72</f>
        <v>189855000</v>
      </c>
      <c r="H72" s="142"/>
      <c r="K72" s="213">
        <v>44227</v>
      </c>
      <c r="L72" s="136"/>
      <c r="M72" s="136" t="s">
        <v>188</v>
      </c>
      <c r="N72" s="136"/>
      <c r="O72" s="137">
        <f ca="1">SUMIF('Jurnal Umum'!$B$7:$G$117,'Buku Besar'!M67,'Jurnal Umum'!$F$7:$F$117)</f>
        <v>750000</v>
      </c>
      <c r="P72" s="136"/>
      <c r="Q72" s="137">
        <f ca="1">Q71+O72-P72</f>
        <v>750000</v>
      </c>
      <c r="R72" s="138"/>
    </row>
    <row r="73" spans="1:18" ht="16.5" thickBot="1" x14ac:dyDescent="0.3">
      <c r="A73" s="214">
        <v>44227</v>
      </c>
      <c r="B73" s="215"/>
      <c r="C73" s="215" t="s">
        <v>187</v>
      </c>
      <c r="D73" s="215"/>
      <c r="E73" s="215"/>
      <c r="F73" s="244">
        <f ca="1">SUMIF('Jurnal Umum'!$B$7:$G$117,'Buku Besar'!C67,'Jurnal Umum'!$G$7:$G$117)</f>
        <v>118390000</v>
      </c>
      <c r="G73" s="244">
        <f ca="1">G72+E73-F73</f>
        <v>71465000</v>
      </c>
      <c r="H73" s="216"/>
      <c r="K73" s="214">
        <v>44227</v>
      </c>
      <c r="L73" s="215"/>
      <c r="M73" s="215" t="s">
        <v>187</v>
      </c>
      <c r="N73" s="215"/>
      <c r="O73" s="215"/>
      <c r="P73" s="244">
        <f ca="1">SUMIF('Jurnal Umum'!$B$7:$G$117,'Buku Besar'!M67,'Jurnal Umum'!$G$7:$G$117)</f>
        <v>0</v>
      </c>
      <c r="Q73" s="244">
        <f ca="1">Q72+O73-P73</f>
        <v>750000</v>
      </c>
      <c r="R73" s="245"/>
    </row>
    <row r="75" spans="1:18" ht="16.5" thickBot="1" x14ac:dyDescent="0.3"/>
    <row r="76" spans="1:18" x14ac:dyDescent="0.25">
      <c r="A76" s="224" t="s">
        <v>145</v>
      </c>
      <c r="B76" s="225"/>
      <c r="C76" s="226">
        <v>11601</v>
      </c>
      <c r="D76" s="227"/>
      <c r="E76" s="227"/>
      <c r="F76" s="227"/>
      <c r="G76" s="227"/>
      <c r="H76" s="228"/>
      <c r="K76" s="224" t="s">
        <v>145</v>
      </c>
      <c r="L76" s="225"/>
      <c r="M76" s="226">
        <v>61009</v>
      </c>
      <c r="N76" s="227"/>
      <c r="O76" s="227"/>
      <c r="P76" s="227"/>
      <c r="Q76" s="227"/>
      <c r="R76" s="228"/>
    </row>
    <row r="77" spans="1:18" ht="16.5" thickBot="1" x14ac:dyDescent="0.3">
      <c r="A77" s="229" t="s">
        <v>146</v>
      </c>
      <c r="B77" s="230"/>
      <c r="C77" s="231" t="str">
        <f>VLOOKUP(C76,'Master Akun'!$A$4:$E$52,2,FALSE)</f>
        <v>PPN Masukan</v>
      </c>
      <c r="D77" s="231"/>
      <c r="E77" s="231"/>
      <c r="F77" s="231"/>
      <c r="G77" s="231"/>
      <c r="H77" s="232"/>
      <c r="K77" s="229" t="s">
        <v>146</v>
      </c>
      <c r="L77" s="230"/>
      <c r="M77" s="231" t="str">
        <f>VLOOKUP(M76,'Master Akun'!$A$4:$E$52,2,FALSE)</f>
        <v>Beban Transportasi</v>
      </c>
      <c r="N77" s="231"/>
      <c r="O77" s="231"/>
      <c r="P77" s="231"/>
      <c r="Q77" s="231"/>
      <c r="R77" s="232"/>
    </row>
    <row r="78" spans="1:18" ht="15" customHeight="1" x14ac:dyDescent="0.25">
      <c r="A78" s="233" t="s">
        <v>106</v>
      </c>
      <c r="B78" s="234" t="s">
        <v>107</v>
      </c>
      <c r="C78" s="235" t="s">
        <v>55</v>
      </c>
      <c r="D78" s="235" t="s">
        <v>2</v>
      </c>
      <c r="E78" s="235" t="s">
        <v>108</v>
      </c>
      <c r="F78" s="235" t="s">
        <v>4</v>
      </c>
      <c r="G78" s="236" t="s">
        <v>147</v>
      </c>
      <c r="H78" s="237"/>
      <c r="K78" s="233" t="s">
        <v>106</v>
      </c>
      <c r="L78" s="234" t="s">
        <v>107</v>
      </c>
      <c r="M78" s="235" t="s">
        <v>55</v>
      </c>
      <c r="N78" s="235" t="s">
        <v>2</v>
      </c>
      <c r="O78" s="235" t="s">
        <v>108</v>
      </c>
      <c r="P78" s="235" t="s">
        <v>4</v>
      </c>
      <c r="Q78" s="236" t="s">
        <v>147</v>
      </c>
      <c r="R78" s="237"/>
    </row>
    <row r="79" spans="1:18" ht="16.5" thickBot="1" x14ac:dyDescent="0.3">
      <c r="A79" s="238"/>
      <c r="B79" s="239"/>
      <c r="C79" s="240"/>
      <c r="D79" s="240"/>
      <c r="E79" s="240"/>
      <c r="F79" s="240"/>
      <c r="G79" s="241" t="s">
        <v>108</v>
      </c>
      <c r="H79" s="242" t="s">
        <v>4</v>
      </c>
      <c r="K79" s="238"/>
      <c r="L79" s="239"/>
      <c r="M79" s="240"/>
      <c r="N79" s="240"/>
      <c r="O79" s="240"/>
      <c r="P79" s="240"/>
      <c r="Q79" s="241" t="s">
        <v>108</v>
      </c>
      <c r="R79" s="242" t="s">
        <v>4</v>
      </c>
    </row>
    <row r="80" spans="1:18" x14ac:dyDescent="0.25">
      <c r="A80" s="243">
        <v>44197</v>
      </c>
      <c r="B80" s="133"/>
      <c r="C80" s="133" t="s">
        <v>148</v>
      </c>
      <c r="D80" s="133"/>
      <c r="E80" s="133"/>
      <c r="F80" s="133"/>
      <c r="G80" s="133">
        <f>VLOOKUP(C76,'Master Akun'!$A$4:$E$51,4,FALSE)</f>
        <v>0</v>
      </c>
      <c r="H80" s="134"/>
      <c r="K80" s="243">
        <v>44197</v>
      </c>
      <c r="L80" s="133"/>
      <c r="M80" s="133" t="s">
        <v>148</v>
      </c>
      <c r="N80" s="133"/>
      <c r="O80" s="133"/>
      <c r="P80" s="133"/>
      <c r="Q80" s="132">
        <f>VLOOKUP(M76,'Master Akun'!$A$4:$E$51,4,FALSE)</f>
        <v>0</v>
      </c>
      <c r="R80" s="134"/>
    </row>
    <row r="81" spans="1:18" x14ac:dyDescent="0.25">
      <c r="A81" s="213">
        <v>44227</v>
      </c>
      <c r="B81" s="136"/>
      <c r="C81" s="136" t="s">
        <v>188</v>
      </c>
      <c r="D81" s="136"/>
      <c r="E81" s="137">
        <f ca="1">SUMIF('Jurnal Umum'!$B$7:$G$117,'Buku Besar'!C76,'Jurnal Umum'!$F$7:$F$117)</f>
        <v>2425000</v>
      </c>
      <c r="F81" s="136"/>
      <c r="G81" s="137">
        <f ca="1">G80+E81-F81</f>
        <v>2425000</v>
      </c>
      <c r="H81" s="142"/>
      <c r="K81" s="213">
        <v>44227</v>
      </c>
      <c r="L81" s="136"/>
      <c r="M81" s="136" t="s">
        <v>188</v>
      </c>
      <c r="N81" s="136"/>
      <c r="O81" s="137">
        <f ca="1">SUMIF('Jurnal Umum'!$B$7:$G$117,'Buku Besar'!M76,'Jurnal Umum'!$F$7:$F$117)</f>
        <v>250000</v>
      </c>
      <c r="P81" s="136"/>
      <c r="Q81" s="137">
        <f ca="1">Q80+O81-P81</f>
        <v>250000</v>
      </c>
      <c r="R81" s="138"/>
    </row>
    <row r="82" spans="1:18" ht="16.5" thickBot="1" x14ac:dyDescent="0.3">
      <c r="A82" s="214">
        <v>44227</v>
      </c>
      <c r="B82" s="215"/>
      <c r="C82" s="215" t="s">
        <v>187</v>
      </c>
      <c r="D82" s="215"/>
      <c r="E82" s="215"/>
      <c r="F82" s="244">
        <f ca="1">SUMIF('Jurnal Umum'!$B$7:$G$117,'Buku Besar'!C76,'Jurnal Umum'!$G$7:$G$117)</f>
        <v>32500</v>
      </c>
      <c r="G82" s="244">
        <f ca="1">G81+E82-F82</f>
        <v>2392500</v>
      </c>
      <c r="H82" s="216"/>
      <c r="K82" s="214">
        <v>44227</v>
      </c>
      <c r="L82" s="215"/>
      <c r="M82" s="215" t="s">
        <v>187</v>
      </c>
      <c r="N82" s="215"/>
      <c r="O82" s="215"/>
      <c r="P82" s="244">
        <f ca="1">SUMIF('Jurnal Umum'!$B$7:$G$117,'Buku Besar'!M76,'Jurnal Umum'!$G$7:$G$117)</f>
        <v>0</v>
      </c>
      <c r="Q82" s="244">
        <f ca="1">Q81+O82-P82</f>
        <v>250000</v>
      </c>
      <c r="R82" s="245"/>
    </row>
    <row r="84" spans="1:18" ht="16.5" thickBot="1" x14ac:dyDescent="0.3"/>
    <row r="85" spans="1:18" x14ac:dyDescent="0.25">
      <c r="A85" s="224" t="s">
        <v>145</v>
      </c>
      <c r="B85" s="225"/>
      <c r="C85" s="226">
        <v>11602</v>
      </c>
      <c r="D85" s="227"/>
      <c r="E85" s="227"/>
      <c r="F85" s="227"/>
      <c r="G85" s="227"/>
      <c r="H85" s="228"/>
      <c r="K85" s="224" t="s">
        <v>145</v>
      </c>
      <c r="L85" s="225"/>
      <c r="M85" s="226">
        <v>61010</v>
      </c>
      <c r="N85" s="227"/>
      <c r="O85" s="227"/>
      <c r="P85" s="227"/>
      <c r="Q85" s="227"/>
      <c r="R85" s="228"/>
    </row>
    <row r="86" spans="1:18" ht="16.5" thickBot="1" x14ac:dyDescent="0.3">
      <c r="A86" s="229" t="s">
        <v>146</v>
      </c>
      <c r="B86" s="230"/>
      <c r="C86" s="231" t="str">
        <f>VLOOKUP(C85,'Master Akun'!$A$4:$E$52,2,FALSE)</f>
        <v>Uang Muka Pembelian</v>
      </c>
      <c r="D86" s="231"/>
      <c r="E86" s="231"/>
      <c r="F86" s="231"/>
      <c r="G86" s="231"/>
      <c r="H86" s="232"/>
      <c r="K86" s="229" t="s">
        <v>146</v>
      </c>
      <c r="L86" s="230"/>
      <c r="M86" s="231" t="str">
        <f>VLOOKUP(M85,'Master Akun'!$A$4:$E$52,2,FALSE)</f>
        <v>Beban Perawatan AC</v>
      </c>
      <c r="N86" s="231"/>
      <c r="O86" s="231"/>
      <c r="P86" s="231"/>
      <c r="Q86" s="231"/>
      <c r="R86" s="232"/>
    </row>
    <row r="87" spans="1:18" ht="15" customHeight="1" x14ac:dyDescent="0.25">
      <c r="A87" s="233" t="s">
        <v>106</v>
      </c>
      <c r="B87" s="234" t="s">
        <v>107</v>
      </c>
      <c r="C87" s="235" t="s">
        <v>55</v>
      </c>
      <c r="D87" s="235" t="s">
        <v>2</v>
      </c>
      <c r="E87" s="235" t="s">
        <v>108</v>
      </c>
      <c r="F87" s="235" t="s">
        <v>4</v>
      </c>
      <c r="G87" s="236" t="s">
        <v>147</v>
      </c>
      <c r="H87" s="237"/>
      <c r="K87" s="233" t="s">
        <v>106</v>
      </c>
      <c r="L87" s="234" t="s">
        <v>107</v>
      </c>
      <c r="M87" s="235" t="s">
        <v>55</v>
      </c>
      <c r="N87" s="235" t="s">
        <v>2</v>
      </c>
      <c r="O87" s="235" t="s">
        <v>108</v>
      </c>
      <c r="P87" s="235" t="s">
        <v>4</v>
      </c>
      <c r="Q87" s="236" t="s">
        <v>147</v>
      </c>
      <c r="R87" s="237"/>
    </row>
    <row r="88" spans="1:18" ht="16.5" thickBot="1" x14ac:dyDescent="0.3">
      <c r="A88" s="238"/>
      <c r="B88" s="239"/>
      <c r="C88" s="240"/>
      <c r="D88" s="240"/>
      <c r="E88" s="240"/>
      <c r="F88" s="240"/>
      <c r="G88" s="241" t="s">
        <v>108</v>
      </c>
      <c r="H88" s="242" t="s">
        <v>4</v>
      </c>
      <c r="K88" s="238"/>
      <c r="L88" s="239"/>
      <c r="M88" s="240"/>
      <c r="N88" s="240"/>
      <c r="O88" s="240"/>
      <c r="P88" s="240"/>
      <c r="Q88" s="241" t="s">
        <v>108</v>
      </c>
      <c r="R88" s="242" t="s">
        <v>4</v>
      </c>
    </row>
    <row r="89" spans="1:18" x14ac:dyDescent="0.25">
      <c r="A89" s="243">
        <v>44197</v>
      </c>
      <c r="B89" s="133"/>
      <c r="C89" s="133" t="s">
        <v>148</v>
      </c>
      <c r="D89" s="133"/>
      <c r="E89" s="133"/>
      <c r="F89" s="133"/>
      <c r="G89" s="133">
        <f>VLOOKUP(C85,'Master Akun'!$A$4:$E$51,4,FALSE)</f>
        <v>0</v>
      </c>
      <c r="H89" s="134"/>
      <c r="K89" s="243">
        <v>44197</v>
      </c>
      <c r="L89" s="133"/>
      <c r="M89" s="133" t="s">
        <v>148</v>
      </c>
      <c r="N89" s="133"/>
      <c r="O89" s="133"/>
      <c r="P89" s="133"/>
      <c r="Q89" s="132">
        <f>VLOOKUP(M85,'Master Akun'!$A$4:$E$51,4,FALSE)</f>
        <v>0</v>
      </c>
      <c r="R89" s="134"/>
    </row>
    <row r="90" spans="1:18" x14ac:dyDescent="0.25">
      <c r="A90" s="213">
        <v>44227</v>
      </c>
      <c r="B90" s="136"/>
      <c r="C90" s="136" t="s">
        <v>188</v>
      </c>
      <c r="D90" s="136"/>
      <c r="E90" s="137">
        <f ca="1">SUMIF('Jurnal Umum'!$B$7:$G$117,'Buku Besar'!C85,'Jurnal Umum'!$F$7:$F$117)</f>
        <v>6000000</v>
      </c>
      <c r="F90" s="136"/>
      <c r="G90" s="137">
        <f ca="1">G89+E90-F90</f>
        <v>6000000</v>
      </c>
      <c r="H90" s="142"/>
      <c r="K90" s="213">
        <v>44227</v>
      </c>
      <c r="L90" s="136"/>
      <c r="M90" s="136" t="s">
        <v>188</v>
      </c>
      <c r="N90" s="136"/>
      <c r="O90" s="137">
        <f ca="1">SUMIF('Jurnal Umum'!$B$7:$G$117,'Buku Besar'!M85,'Jurnal Umum'!$F$7:$F$117)</f>
        <v>200000</v>
      </c>
      <c r="P90" s="136"/>
      <c r="Q90" s="137">
        <f ca="1">Q89+O90-P90</f>
        <v>200000</v>
      </c>
      <c r="R90" s="138"/>
    </row>
    <row r="91" spans="1:18" ht="16.5" thickBot="1" x14ac:dyDescent="0.3">
      <c r="A91" s="214">
        <v>44227</v>
      </c>
      <c r="B91" s="215"/>
      <c r="C91" s="215" t="s">
        <v>187</v>
      </c>
      <c r="D91" s="215"/>
      <c r="E91" s="215"/>
      <c r="F91" s="244">
        <f ca="1">SUMIF('Jurnal Umum'!$B$7:$G$117,'Buku Besar'!C85,'Jurnal Umum'!$G$7:$G$117)</f>
        <v>6000000</v>
      </c>
      <c r="G91" s="244">
        <f ca="1">G90-F91</f>
        <v>0</v>
      </c>
      <c r="H91" s="245"/>
      <c r="K91" s="214">
        <v>44227</v>
      </c>
      <c r="L91" s="215"/>
      <c r="M91" s="215" t="s">
        <v>187</v>
      </c>
      <c r="N91" s="215"/>
      <c r="O91" s="215"/>
      <c r="P91" s="244">
        <f ca="1">SUMIF('Jurnal Umum'!$B$7:$G$117,'Buku Besar'!M85,'Jurnal Umum'!$G$7:$G$117)</f>
        <v>0</v>
      </c>
      <c r="Q91" s="244">
        <f ca="1">Q90+O91-P91</f>
        <v>200000</v>
      </c>
      <c r="R91" s="245"/>
    </row>
    <row r="93" spans="1:18" ht="16.5" thickBot="1" x14ac:dyDescent="0.3"/>
    <row r="94" spans="1:18" x14ac:dyDescent="0.25">
      <c r="A94" s="224" t="s">
        <v>145</v>
      </c>
      <c r="B94" s="225"/>
      <c r="C94" s="226">
        <v>12101</v>
      </c>
      <c r="D94" s="227"/>
      <c r="E94" s="227"/>
      <c r="F94" s="227"/>
      <c r="G94" s="227"/>
      <c r="H94" s="228"/>
      <c r="K94" s="224" t="s">
        <v>145</v>
      </c>
      <c r="L94" s="225"/>
      <c r="M94" s="226">
        <v>61011</v>
      </c>
      <c r="N94" s="227"/>
      <c r="O94" s="227"/>
      <c r="P94" s="227"/>
      <c r="Q94" s="227"/>
      <c r="R94" s="228"/>
    </row>
    <row r="95" spans="1:18" ht="16.5" thickBot="1" x14ac:dyDescent="0.3">
      <c r="A95" s="229" t="s">
        <v>146</v>
      </c>
      <c r="B95" s="230"/>
      <c r="C95" s="231" t="str">
        <f>VLOOKUP(C94,'Master Akun'!$A$4:$E$52,2,FALSE)</f>
        <v>Peralatan Kantor</v>
      </c>
      <c r="D95" s="231"/>
      <c r="E95" s="231"/>
      <c r="F95" s="231"/>
      <c r="G95" s="231"/>
      <c r="H95" s="232"/>
      <c r="K95" s="229" t="s">
        <v>146</v>
      </c>
      <c r="L95" s="230"/>
      <c r="M95" s="231" t="str">
        <f>VLOOKUP(M94,'Master Akun'!$A$4:$E$52,2,FALSE)</f>
        <v>Beban Perlengkapan Kantor</v>
      </c>
      <c r="N95" s="231"/>
      <c r="O95" s="231"/>
      <c r="P95" s="231"/>
      <c r="Q95" s="231"/>
      <c r="R95" s="232"/>
    </row>
    <row r="96" spans="1:18" ht="15" customHeight="1" x14ac:dyDescent="0.25">
      <c r="A96" s="233" t="s">
        <v>106</v>
      </c>
      <c r="B96" s="234" t="s">
        <v>107</v>
      </c>
      <c r="C96" s="235" t="s">
        <v>55</v>
      </c>
      <c r="D96" s="235" t="s">
        <v>2</v>
      </c>
      <c r="E96" s="235" t="s">
        <v>108</v>
      </c>
      <c r="F96" s="235" t="s">
        <v>4</v>
      </c>
      <c r="G96" s="236" t="s">
        <v>147</v>
      </c>
      <c r="H96" s="237"/>
      <c r="K96" s="233" t="s">
        <v>106</v>
      </c>
      <c r="L96" s="234" t="s">
        <v>107</v>
      </c>
      <c r="M96" s="235" t="s">
        <v>55</v>
      </c>
      <c r="N96" s="235" t="s">
        <v>2</v>
      </c>
      <c r="O96" s="235" t="s">
        <v>108</v>
      </c>
      <c r="P96" s="235" t="s">
        <v>4</v>
      </c>
      <c r="Q96" s="236" t="s">
        <v>147</v>
      </c>
      <c r="R96" s="237"/>
    </row>
    <row r="97" spans="1:18" ht="16.5" thickBot="1" x14ac:dyDescent="0.3">
      <c r="A97" s="238"/>
      <c r="B97" s="239"/>
      <c r="C97" s="240"/>
      <c r="D97" s="240"/>
      <c r="E97" s="240"/>
      <c r="F97" s="240"/>
      <c r="G97" s="241" t="s">
        <v>108</v>
      </c>
      <c r="H97" s="242" t="s">
        <v>4</v>
      </c>
      <c r="K97" s="238"/>
      <c r="L97" s="239"/>
      <c r="M97" s="240"/>
      <c r="N97" s="240"/>
      <c r="O97" s="240"/>
      <c r="P97" s="240"/>
      <c r="Q97" s="241" t="s">
        <v>108</v>
      </c>
      <c r="R97" s="242" t="s">
        <v>4</v>
      </c>
    </row>
    <row r="98" spans="1:18" x14ac:dyDescent="0.25">
      <c r="A98" s="243">
        <v>44197</v>
      </c>
      <c r="B98" s="133"/>
      <c r="C98" s="133" t="s">
        <v>148</v>
      </c>
      <c r="D98" s="133"/>
      <c r="E98" s="133"/>
      <c r="F98" s="133"/>
      <c r="G98" s="133">
        <f>VLOOKUP(C94,'Master Akun'!$A$4:$E$51,4,FALSE)</f>
        <v>25000000</v>
      </c>
      <c r="H98" s="134"/>
      <c r="K98" s="243">
        <v>44197</v>
      </c>
      <c r="L98" s="133"/>
      <c r="M98" s="133" t="s">
        <v>148</v>
      </c>
      <c r="N98" s="133"/>
      <c r="O98" s="133"/>
      <c r="P98" s="133"/>
      <c r="Q98" s="132">
        <f>VLOOKUP(M94,'Master Akun'!$A$4:$E$51,4,FALSE)</f>
        <v>0</v>
      </c>
      <c r="R98" s="134"/>
    </row>
    <row r="99" spans="1:18" x14ac:dyDescent="0.25">
      <c r="A99" s="213">
        <v>44227</v>
      </c>
      <c r="B99" s="136"/>
      <c r="C99" s="136" t="s">
        <v>188</v>
      </c>
      <c r="D99" s="136"/>
      <c r="E99" s="137">
        <f ca="1">SUMIF('Jurnal Umum'!$B$7:$G$117,'Buku Besar'!C94,'Jurnal Umum'!$F$7:$F$117)</f>
        <v>0</v>
      </c>
      <c r="F99" s="136"/>
      <c r="G99" s="137">
        <f ca="1">G98+E99-F99</f>
        <v>25000000</v>
      </c>
      <c r="H99" s="142"/>
      <c r="K99" s="213">
        <v>44227</v>
      </c>
      <c r="L99" s="136"/>
      <c r="M99" s="136" t="s">
        <v>188</v>
      </c>
      <c r="N99" s="136"/>
      <c r="O99" s="137">
        <f ca="1">SUMIF('Jurnal Umum'!$B$7:$G$117,'Buku Besar'!M94,'Jurnal Umum'!$F$7:$F$117)</f>
        <v>50000</v>
      </c>
      <c r="P99" s="136"/>
      <c r="Q99" s="137">
        <f ca="1">Q98+O99-P99</f>
        <v>50000</v>
      </c>
      <c r="R99" s="138"/>
    </row>
    <row r="100" spans="1:18" ht="16.5" thickBot="1" x14ac:dyDescent="0.3">
      <c r="A100" s="214">
        <v>44227</v>
      </c>
      <c r="B100" s="215"/>
      <c r="C100" s="215" t="s">
        <v>187</v>
      </c>
      <c r="D100" s="215"/>
      <c r="E100" s="215"/>
      <c r="F100" s="244">
        <f ca="1">SUMIF('Jurnal Umum'!$B$7:$G$117,'Buku Besar'!C94,'Jurnal Umum'!$G$7:$G$117)</f>
        <v>0</v>
      </c>
      <c r="G100" s="244">
        <f ca="1">G99+E100-F100</f>
        <v>25000000</v>
      </c>
      <c r="H100" s="216"/>
      <c r="K100" s="214">
        <v>44227</v>
      </c>
      <c r="L100" s="215"/>
      <c r="M100" s="215" t="s">
        <v>187</v>
      </c>
      <c r="N100" s="215"/>
      <c r="O100" s="215"/>
      <c r="P100" s="244">
        <f ca="1">SUMIF('Jurnal Umum'!$B$7:$G$117,'Buku Besar'!M94,'Jurnal Umum'!$G$7:$G$117)</f>
        <v>0</v>
      </c>
      <c r="Q100" s="244">
        <f ca="1">Q99+O100-P100</f>
        <v>50000</v>
      </c>
      <c r="R100" s="245"/>
    </row>
    <row r="102" spans="1:18" ht="16.5" thickBot="1" x14ac:dyDescent="0.3"/>
    <row r="103" spans="1:18" x14ac:dyDescent="0.25">
      <c r="A103" s="224" t="s">
        <v>145</v>
      </c>
      <c r="B103" s="225"/>
      <c r="C103" s="226">
        <v>12102</v>
      </c>
      <c r="D103" s="227"/>
      <c r="E103" s="227"/>
      <c r="F103" s="227"/>
      <c r="G103" s="227"/>
      <c r="H103" s="228"/>
      <c r="K103" s="224" t="s">
        <v>145</v>
      </c>
      <c r="L103" s="225"/>
      <c r="M103" s="226">
        <v>61099</v>
      </c>
      <c r="N103" s="227"/>
      <c r="O103" s="227"/>
      <c r="P103" s="227"/>
      <c r="Q103" s="227"/>
      <c r="R103" s="228"/>
    </row>
    <row r="104" spans="1:18" ht="16.5" thickBot="1" x14ac:dyDescent="0.3">
      <c r="A104" s="229" t="s">
        <v>146</v>
      </c>
      <c r="B104" s="230"/>
      <c r="C104" s="231" t="str">
        <f>VLOOKUP(C103,'Master Akun'!$A$4:$E$52,2,FALSE)</f>
        <v>Akm Peny Peralatan Kantor</v>
      </c>
      <c r="D104" s="231"/>
      <c r="E104" s="231"/>
      <c r="F104" s="231"/>
      <c r="G104" s="231"/>
      <c r="H104" s="232"/>
      <c r="K104" s="229" t="s">
        <v>146</v>
      </c>
      <c r="L104" s="230"/>
      <c r="M104" s="231" t="str">
        <f>VLOOKUP(M103,'Master Akun'!$A$4:$E$52,2,FALSE)</f>
        <v>Beban Umum Lain-Lain</v>
      </c>
      <c r="N104" s="231"/>
      <c r="O104" s="231"/>
      <c r="P104" s="231"/>
      <c r="Q104" s="231"/>
      <c r="R104" s="232"/>
    </row>
    <row r="105" spans="1:18" ht="15" customHeight="1" x14ac:dyDescent="0.25">
      <c r="A105" s="233" t="s">
        <v>106</v>
      </c>
      <c r="B105" s="234" t="s">
        <v>107</v>
      </c>
      <c r="C105" s="235" t="s">
        <v>55</v>
      </c>
      <c r="D105" s="235" t="s">
        <v>2</v>
      </c>
      <c r="E105" s="235" t="s">
        <v>108</v>
      </c>
      <c r="F105" s="235" t="s">
        <v>4</v>
      </c>
      <c r="G105" s="236" t="s">
        <v>147</v>
      </c>
      <c r="H105" s="237"/>
      <c r="K105" s="233" t="s">
        <v>106</v>
      </c>
      <c r="L105" s="234" t="s">
        <v>107</v>
      </c>
      <c r="M105" s="235" t="s">
        <v>55</v>
      </c>
      <c r="N105" s="235" t="s">
        <v>2</v>
      </c>
      <c r="O105" s="235" t="s">
        <v>108</v>
      </c>
      <c r="P105" s="235" t="s">
        <v>4</v>
      </c>
      <c r="Q105" s="236" t="s">
        <v>147</v>
      </c>
      <c r="R105" s="237"/>
    </row>
    <row r="106" spans="1:18" ht="16.5" thickBot="1" x14ac:dyDescent="0.3">
      <c r="A106" s="238"/>
      <c r="B106" s="239"/>
      <c r="C106" s="240"/>
      <c r="D106" s="240"/>
      <c r="E106" s="240"/>
      <c r="F106" s="240"/>
      <c r="G106" s="241" t="s">
        <v>108</v>
      </c>
      <c r="H106" s="242" t="s">
        <v>4</v>
      </c>
      <c r="K106" s="238"/>
      <c r="L106" s="239"/>
      <c r="M106" s="240"/>
      <c r="N106" s="240"/>
      <c r="O106" s="240"/>
      <c r="P106" s="240"/>
      <c r="Q106" s="241" t="s">
        <v>108</v>
      </c>
      <c r="R106" s="242" t="s">
        <v>4</v>
      </c>
    </row>
    <row r="107" spans="1:18" x14ac:dyDescent="0.25">
      <c r="A107" s="243">
        <v>44197</v>
      </c>
      <c r="B107" s="133"/>
      <c r="C107" s="133" t="s">
        <v>148</v>
      </c>
      <c r="D107" s="133"/>
      <c r="E107" s="133"/>
      <c r="F107" s="133"/>
      <c r="G107" s="132"/>
      <c r="H107" s="134">
        <f>VLOOKUP(C103,'Master Akun'!$A$4:$E$51,5,FALSE)</f>
        <v>7500000</v>
      </c>
      <c r="K107" s="243">
        <v>44197</v>
      </c>
      <c r="L107" s="133"/>
      <c r="M107" s="133" t="s">
        <v>148</v>
      </c>
      <c r="N107" s="133"/>
      <c r="O107" s="133"/>
      <c r="P107" s="133"/>
      <c r="Q107" s="132">
        <f>VLOOKUP(M103,'Master Akun'!$A$4:$E$51,4,FALSE)</f>
        <v>0</v>
      </c>
      <c r="R107" s="134"/>
    </row>
    <row r="108" spans="1:18" x14ac:dyDescent="0.25">
      <c r="A108" s="213">
        <v>44227</v>
      </c>
      <c r="B108" s="136"/>
      <c r="C108" s="136" t="s">
        <v>188</v>
      </c>
      <c r="D108" s="136"/>
      <c r="E108" s="137">
        <f ca="1">SUMIF('Jurnal Umum'!$B$7:$G$117,'Buku Besar'!C103,'Jurnal Umum'!$F$7:$F$117)</f>
        <v>0</v>
      </c>
      <c r="F108" s="136"/>
      <c r="G108" s="137"/>
      <c r="H108" s="138">
        <f ca="1">H107+F108-E108</f>
        <v>7500000</v>
      </c>
      <c r="K108" s="213">
        <v>44227</v>
      </c>
      <c r="L108" s="136"/>
      <c r="M108" s="136" t="s">
        <v>188</v>
      </c>
      <c r="N108" s="136"/>
      <c r="O108" s="137">
        <f ca="1">SUMIF('Jurnal Umum'!$B$7:$G$117,'Buku Besar'!M103,'Jurnal Umum'!$F$7:$F$117)</f>
        <v>0</v>
      </c>
      <c r="P108" s="136"/>
      <c r="Q108" s="137">
        <f ca="1">Q107+O108-P108</f>
        <v>0</v>
      </c>
      <c r="R108" s="138"/>
    </row>
    <row r="109" spans="1:18" ht="16.5" thickBot="1" x14ac:dyDescent="0.3">
      <c r="A109" s="214">
        <v>44227</v>
      </c>
      <c r="B109" s="215"/>
      <c r="C109" s="215" t="s">
        <v>187</v>
      </c>
      <c r="D109" s="215"/>
      <c r="E109" s="215"/>
      <c r="F109" s="244">
        <f ca="1">SUMIF('Jurnal Umum'!$B$7:$G$117,'Buku Besar'!C103,'Jurnal Umum'!$G$7:$G$117)</f>
        <v>400000</v>
      </c>
      <c r="G109" s="244"/>
      <c r="H109" s="245">
        <f ca="1">H108+F109-E109</f>
        <v>7900000</v>
      </c>
      <c r="K109" s="214">
        <v>44227</v>
      </c>
      <c r="L109" s="215"/>
      <c r="M109" s="215" t="s">
        <v>187</v>
      </c>
      <c r="N109" s="215"/>
      <c r="O109" s="215"/>
      <c r="P109" s="244">
        <f ca="1">SUMIF('Jurnal Umum'!$B$7:$G$117,'Buku Besar'!M103,'Jurnal Umum'!$G$7:$G$117)</f>
        <v>0</v>
      </c>
      <c r="Q109" s="244">
        <f ca="1">Q108+O109-P109</f>
        <v>0</v>
      </c>
      <c r="R109" s="245"/>
    </row>
    <row r="111" spans="1:18" ht="16.5" thickBot="1" x14ac:dyDescent="0.3"/>
    <row r="112" spans="1:18" x14ac:dyDescent="0.25">
      <c r="A112" s="224" t="s">
        <v>145</v>
      </c>
      <c r="B112" s="225"/>
      <c r="C112" s="226">
        <v>12201</v>
      </c>
      <c r="D112" s="227"/>
      <c r="E112" s="227"/>
      <c r="F112" s="227"/>
      <c r="G112" s="227"/>
      <c r="H112" s="228"/>
      <c r="K112" s="224" t="s">
        <v>145</v>
      </c>
      <c r="L112" s="225"/>
      <c r="M112" s="226">
        <v>81001</v>
      </c>
      <c r="N112" s="227"/>
      <c r="O112" s="227"/>
      <c r="P112" s="227"/>
      <c r="Q112" s="227"/>
      <c r="R112" s="228"/>
    </row>
    <row r="113" spans="1:18" ht="16.5" thickBot="1" x14ac:dyDescent="0.3">
      <c r="A113" s="229" t="s">
        <v>146</v>
      </c>
      <c r="B113" s="230"/>
      <c r="C113" s="231" t="str">
        <f>VLOOKUP(C112,'Master Akun'!$A$4:$E$52,2,FALSE)</f>
        <v>Kendaraan</v>
      </c>
      <c r="D113" s="231"/>
      <c r="E113" s="231"/>
      <c r="F113" s="231"/>
      <c r="G113" s="231"/>
      <c r="H113" s="232"/>
      <c r="K113" s="229" t="s">
        <v>146</v>
      </c>
      <c r="L113" s="230"/>
      <c r="M113" s="231" t="str">
        <f>VLOOKUP(M112,'Master Akun'!$A$4:$E$52,2,FALSE)</f>
        <v>Laba Penjualan Aktiva Tetap</v>
      </c>
      <c r="N113" s="231"/>
      <c r="O113" s="231"/>
      <c r="P113" s="231"/>
      <c r="Q113" s="231"/>
      <c r="R113" s="232"/>
    </row>
    <row r="114" spans="1:18" ht="15" customHeight="1" x14ac:dyDescent="0.25">
      <c r="A114" s="233" t="s">
        <v>106</v>
      </c>
      <c r="B114" s="234" t="s">
        <v>107</v>
      </c>
      <c r="C114" s="235" t="s">
        <v>55</v>
      </c>
      <c r="D114" s="235" t="s">
        <v>2</v>
      </c>
      <c r="E114" s="235" t="s">
        <v>108</v>
      </c>
      <c r="F114" s="235" t="s">
        <v>4</v>
      </c>
      <c r="G114" s="236" t="s">
        <v>147</v>
      </c>
      <c r="H114" s="237"/>
      <c r="K114" s="233" t="s">
        <v>106</v>
      </c>
      <c r="L114" s="234" t="s">
        <v>107</v>
      </c>
      <c r="M114" s="235" t="s">
        <v>55</v>
      </c>
      <c r="N114" s="235" t="s">
        <v>2</v>
      </c>
      <c r="O114" s="235" t="s">
        <v>108</v>
      </c>
      <c r="P114" s="235" t="s">
        <v>4</v>
      </c>
      <c r="Q114" s="236" t="s">
        <v>147</v>
      </c>
      <c r="R114" s="237"/>
    </row>
    <row r="115" spans="1:18" ht="16.5" thickBot="1" x14ac:dyDescent="0.3">
      <c r="A115" s="238"/>
      <c r="B115" s="239"/>
      <c r="C115" s="240"/>
      <c r="D115" s="240"/>
      <c r="E115" s="240"/>
      <c r="F115" s="240"/>
      <c r="G115" s="241" t="s">
        <v>108</v>
      </c>
      <c r="H115" s="242" t="s">
        <v>4</v>
      </c>
      <c r="K115" s="238"/>
      <c r="L115" s="239"/>
      <c r="M115" s="240"/>
      <c r="N115" s="240"/>
      <c r="O115" s="240"/>
      <c r="P115" s="240"/>
      <c r="Q115" s="241" t="s">
        <v>108</v>
      </c>
      <c r="R115" s="242" t="s">
        <v>4</v>
      </c>
    </row>
    <row r="116" spans="1:18" x14ac:dyDescent="0.25">
      <c r="A116" s="243">
        <v>44197</v>
      </c>
      <c r="B116" s="133"/>
      <c r="C116" s="133" t="s">
        <v>148</v>
      </c>
      <c r="D116" s="133"/>
      <c r="E116" s="133"/>
      <c r="F116" s="133"/>
      <c r="G116" s="133">
        <f>VLOOKUP(C112,'Master Akun'!$A$4:$E$51,4,FALSE)</f>
        <v>45000000</v>
      </c>
      <c r="H116" s="134"/>
      <c r="K116" s="243">
        <v>44197</v>
      </c>
      <c r="L116" s="133"/>
      <c r="M116" s="133" t="s">
        <v>148</v>
      </c>
      <c r="N116" s="133"/>
      <c r="O116" s="133"/>
      <c r="P116" s="133"/>
      <c r="Q116" s="132"/>
      <c r="R116" s="134">
        <f>VLOOKUP(M112,'Master Akun'!$A$4:$E$51,5,FALSE)</f>
        <v>0</v>
      </c>
    </row>
    <row r="117" spans="1:18" x14ac:dyDescent="0.25">
      <c r="A117" s="213">
        <v>44227</v>
      </c>
      <c r="B117" s="136"/>
      <c r="C117" s="136" t="s">
        <v>188</v>
      </c>
      <c r="D117" s="136"/>
      <c r="E117" s="137">
        <f ca="1">SUMIF('Jurnal Umum'!$B$7:$G$117,'Buku Besar'!C112,'Jurnal Umum'!$F$7:$F$117)</f>
        <v>11500000</v>
      </c>
      <c r="F117" s="136"/>
      <c r="G117" s="137">
        <f ca="1">G116+E117-F117</f>
        <v>56500000</v>
      </c>
      <c r="H117" s="142"/>
      <c r="K117" s="213">
        <v>44227</v>
      </c>
      <c r="L117" s="136"/>
      <c r="M117" s="136" t="s">
        <v>188</v>
      </c>
      <c r="N117" s="136"/>
      <c r="O117" s="137">
        <f ca="1">SUMIF('Jurnal Umum'!$B$7:$G$117,'Buku Besar'!M112,'Jurnal Umum'!$F$7:$F$117)</f>
        <v>0</v>
      </c>
      <c r="P117" s="136"/>
      <c r="Q117" s="137"/>
      <c r="R117" s="138">
        <f ca="1">R116+P117-O117</f>
        <v>0</v>
      </c>
    </row>
    <row r="118" spans="1:18" ht="16.5" thickBot="1" x14ac:dyDescent="0.3">
      <c r="A118" s="214">
        <v>44227</v>
      </c>
      <c r="B118" s="215"/>
      <c r="C118" s="215" t="s">
        <v>187</v>
      </c>
      <c r="D118" s="215"/>
      <c r="E118" s="215"/>
      <c r="F118" s="244">
        <f ca="1">SUMIF('Jurnal Umum'!$B$7:$G$117,'Buku Besar'!C112,'Jurnal Umum'!$G$7:$G$117)</f>
        <v>6000000</v>
      </c>
      <c r="G118" s="244">
        <f ca="1">G117+E118-F118</f>
        <v>50500000</v>
      </c>
      <c r="H118" s="216"/>
      <c r="K118" s="214">
        <v>44227</v>
      </c>
      <c r="L118" s="215"/>
      <c r="M118" s="215" t="s">
        <v>187</v>
      </c>
      <c r="N118" s="215"/>
      <c r="O118" s="215"/>
      <c r="P118" s="244">
        <f ca="1">SUMIF('Jurnal Umum'!$B$7:$G$117,'Buku Besar'!M112,'Jurnal Umum'!$G$7:$G$117)</f>
        <v>1000000</v>
      </c>
      <c r="Q118" s="244"/>
      <c r="R118" s="245">
        <f ca="1">R117+P118-O118</f>
        <v>1000000</v>
      </c>
    </row>
    <row r="120" spans="1:18" ht="16.5" thickBot="1" x14ac:dyDescent="0.3"/>
    <row r="121" spans="1:18" x14ac:dyDescent="0.25">
      <c r="A121" s="224" t="s">
        <v>145</v>
      </c>
      <c r="B121" s="225"/>
      <c r="C121" s="226">
        <v>12202</v>
      </c>
      <c r="D121" s="227"/>
      <c r="E121" s="227"/>
      <c r="F121" s="227"/>
      <c r="G121" s="227"/>
      <c r="H121" s="228"/>
      <c r="K121" s="224" t="s">
        <v>145</v>
      </c>
      <c r="L121" s="225"/>
      <c r="M121" s="226">
        <v>81002</v>
      </c>
      <c r="N121" s="227"/>
      <c r="O121" s="227"/>
      <c r="P121" s="227"/>
      <c r="Q121" s="227"/>
      <c r="R121" s="228"/>
    </row>
    <row r="122" spans="1:18" ht="16.5" thickBot="1" x14ac:dyDescent="0.3">
      <c r="A122" s="229" t="s">
        <v>146</v>
      </c>
      <c r="B122" s="230"/>
      <c r="C122" s="231" t="str">
        <f>VLOOKUP(C121,'Master Akun'!$A$4:$E$52,2,FALSE)</f>
        <v>Akm Peny Kendaraan</v>
      </c>
      <c r="D122" s="231"/>
      <c r="E122" s="231"/>
      <c r="F122" s="231"/>
      <c r="G122" s="231"/>
      <c r="H122" s="232"/>
      <c r="K122" s="229" t="s">
        <v>146</v>
      </c>
      <c r="L122" s="230"/>
      <c r="M122" s="231" t="str">
        <f>VLOOKUP(M121,'Master Akun'!$A$4:$E$52,2,FALSE)</f>
        <v>Pendapatan Jasa Giro</v>
      </c>
      <c r="N122" s="231"/>
      <c r="O122" s="231"/>
      <c r="P122" s="231"/>
      <c r="Q122" s="231"/>
      <c r="R122" s="232"/>
    </row>
    <row r="123" spans="1:18" x14ac:dyDescent="0.25">
      <c r="A123" s="233" t="s">
        <v>106</v>
      </c>
      <c r="B123" s="234" t="s">
        <v>107</v>
      </c>
      <c r="C123" s="235" t="s">
        <v>55</v>
      </c>
      <c r="D123" s="235" t="s">
        <v>2</v>
      </c>
      <c r="E123" s="235" t="s">
        <v>108</v>
      </c>
      <c r="F123" s="235" t="s">
        <v>4</v>
      </c>
      <c r="G123" s="236" t="s">
        <v>147</v>
      </c>
      <c r="H123" s="237"/>
      <c r="K123" s="233" t="s">
        <v>106</v>
      </c>
      <c r="L123" s="234" t="s">
        <v>107</v>
      </c>
      <c r="M123" s="235" t="s">
        <v>55</v>
      </c>
      <c r="N123" s="235" t="s">
        <v>2</v>
      </c>
      <c r="O123" s="235" t="s">
        <v>108</v>
      </c>
      <c r="P123" s="235" t="s">
        <v>4</v>
      </c>
      <c r="Q123" s="236" t="s">
        <v>147</v>
      </c>
      <c r="R123" s="237"/>
    </row>
    <row r="124" spans="1:18" ht="16.5" thickBot="1" x14ac:dyDescent="0.3">
      <c r="A124" s="238"/>
      <c r="B124" s="239"/>
      <c r="C124" s="240"/>
      <c r="D124" s="240"/>
      <c r="E124" s="240"/>
      <c r="F124" s="240"/>
      <c r="G124" s="241" t="s">
        <v>108</v>
      </c>
      <c r="H124" s="242" t="s">
        <v>4</v>
      </c>
      <c r="K124" s="238"/>
      <c r="L124" s="239"/>
      <c r="M124" s="240"/>
      <c r="N124" s="240"/>
      <c r="O124" s="240"/>
      <c r="P124" s="240"/>
      <c r="Q124" s="241" t="s">
        <v>108</v>
      </c>
      <c r="R124" s="242" t="s">
        <v>4</v>
      </c>
    </row>
    <row r="125" spans="1:18" x14ac:dyDescent="0.25">
      <c r="A125" s="243">
        <v>44197</v>
      </c>
      <c r="B125" s="133"/>
      <c r="C125" s="133" t="s">
        <v>148</v>
      </c>
      <c r="D125" s="133"/>
      <c r="E125" s="133"/>
      <c r="F125" s="133"/>
      <c r="G125" s="132"/>
      <c r="H125" s="134">
        <f>VLOOKUP(C121,'Master Akun'!$A$4:$E$51,5,FALSE)</f>
        <v>25000000</v>
      </c>
      <c r="K125" s="243">
        <v>44197</v>
      </c>
      <c r="L125" s="133"/>
      <c r="M125" s="133" t="s">
        <v>148</v>
      </c>
      <c r="N125" s="133"/>
      <c r="O125" s="133"/>
      <c r="P125" s="133"/>
      <c r="Q125" s="132"/>
      <c r="R125" s="134">
        <f>VLOOKUP(M121,'Master Akun'!$A$4:$E$51,5,FALSE)</f>
        <v>0</v>
      </c>
    </row>
    <row r="126" spans="1:18" x14ac:dyDescent="0.25">
      <c r="A126" s="213">
        <v>44227</v>
      </c>
      <c r="B126" s="136"/>
      <c r="C126" s="136" t="s">
        <v>188</v>
      </c>
      <c r="D126" s="136"/>
      <c r="E126" s="137">
        <f ca="1">SUMIF('Jurnal Umum'!$B$7:$G$117,'Buku Besar'!C121,'Jurnal Umum'!$F$7:$F$117)</f>
        <v>1500000</v>
      </c>
      <c r="F126" s="136"/>
      <c r="G126" s="137"/>
      <c r="H126" s="138">
        <f ca="1">H125+F126-E126</f>
        <v>23500000</v>
      </c>
      <c r="K126" s="213">
        <v>44227</v>
      </c>
      <c r="L126" s="136"/>
      <c r="M126" s="136" t="s">
        <v>188</v>
      </c>
      <c r="N126" s="136"/>
      <c r="O126" s="137">
        <f ca="1">SUMIF('Jurnal Umum'!$B$7:$G$117,'Buku Besar'!M121,'Jurnal Umum'!$F$7:$F$117)</f>
        <v>0</v>
      </c>
      <c r="P126" s="136"/>
      <c r="Q126" s="137"/>
      <c r="R126" s="138">
        <f ca="1">R125+P126-O126</f>
        <v>0</v>
      </c>
    </row>
    <row r="127" spans="1:18" ht="16.5" thickBot="1" x14ac:dyDescent="0.3">
      <c r="A127" s="214">
        <v>44227</v>
      </c>
      <c r="B127" s="215"/>
      <c r="C127" s="215" t="s">
        <v>187</v>
      </c>
      <c r="D127" s="215"/>
      <c r="E127" s="215"/>
      <c r="F127" s="244">
        <f ca="1">SUMIF('Jurnal Umum'!$B$7:$G$117,'Buku Besar'!C121,'Jurnal Umum'!$G$7:$G$117)</f>
        <v>500000</v>
      </c>
      <c r="G127" s="244"/>
      <c r="H127" s="245">
        <f ca="1">H126+F127</f>
        <v>24000000</v>
      </c>
      <c r="K127" s="214">
        <v>44227</v>
      </c>
      <c r="L127" s="215"/>
      <c r="M127" s="215" t="s">
        <v>187</v>
      </c>
      <c r="N127" s="215"/>
      <c r="O127" s="215"/>
      <c r="P127" s="244">
        <f ca="1">SUMIF('Jurnal Umum'!$B$7:$G$117,'Buku Besar'!M121,'Jurnal Umum'!$G$7:$G$117)</f>
        <v>1350000</v>
      </c>
      <c r="Q127" s="244"/>
      <c r="R127" s="245">
        <f ca="1">R126+P127-O127</f>
        <v>1350000</v>
      </c>
    </row>
    <row r="129" spans="1:18" ht="16.5" thickBot="1" x14ac:dyDescent="0.3"/>
    <row r="130" spans="1:18" x14ac:dyDescent="0.25">
      <c r="A130" s="224" t="s">
        <v>145</v>
      </c>
      <c r="B130" s="225"/>
      <c r="C130" s="226">
        <v>21100</v>
      </c>
      <c r="D130" s="227"/>
      <c r="E130" s="227"/>
      <c r="F130" s="227"/>
      <c r="G130" s="227"/>
      <c r="H130" s="228"/>
      <c r="K130" s="224" t="s">
        <v>145</v>
      </c>
      <c r="L130" s="225"/>
      <c r="M130" s="226">
        <v>91001</v>
      </c>
      <c r="N130" s="227"/>
      <c r="O130" s="227"/>
      <c r="P130" s="227"/>
      <c r="Q130" s="227"/>
      <c r="R130" s="228"/>
    </row>
    <row r="131" spans="1:18" ht="16.5" thickBot="1" x14ac:dyDescent="0.3">
      <c r="A131" s="229" t="s">
        <v>146</v>
      </c>
      <c r="B131" s="230"/>
      <c r="C131" s="231" t="str">
        <f>VLOOKUP(C130,'Master Akun'!$A$4:$E$52,2,FALSE)</f>
        <v>Hutang Usaha</v>
      </c>
      <c r="D131" s="231"/>
      <c r="E131" s="231"/>
      <c r="F131" s="231"/>
      <c r="G131" s="231"/>
      <c r="H131" s="232"/>
      <c r="K131" s="229" t="s">
        <v>146</v>
      </c>
      <c r="L131" s="230"/>
      <c r="M131" s="231" t="str">
        <f>VLOOKUP(M130,'Master Akun'!$A$4:$E$52,2,FALSE)</f>
        <v>Beban Administrasi Bank</v>
      </c>
      <c r="N131" s="231"/>
      <c r="O131" s="231"/>
      <c r="P131" s="231"/>
      <c r="Q131" s="231"/>
      <c r="R131" s="232"/>
    </row>
    <row r="132" spans="1:18" x14ac:dyDescent="0.25">
      <c r="A132" s="233" t="s">
        <v>106</v>
      </c>
      <c r="B132" s="234" t="s">
        <v>107</v>
      </c>
      <c r="C132" s="235" t="s">
        <v>55</v>
      </c>
      <c r="D132" s="235" t="s">
        <v>2</v>
      </c>
      <c r="E132" s="235" t="s">
        <v>108</v>
      </c>
      <c r="F132" s="235" t="s">
        <v>4</v>
      </c>
      <c r="G132" s="236" t="s">
        <v>147</v>
      </c>
      <c r="H132" s="237"/>
      <c r="K132" s="233" t="s">
        <v>106</v>
      </c>
      <c r="L132" s="234" t="s">
        <v>107</v>
      </c>
      <c r="M132" s="235" t="s">
        <v>55</v>
      </c>
      <c r="N132" s="235" t="s">
        <v>2</v>
      </c>
      <c r="O132" s="235" t="s">
        <v>108</v>
      </c>
      <c r="P132" s="235" t="s">
        <v>4</v>
      </c>
      <c r="Q132" s="236" t="s">
        <v>147</v>
      </c>
      <c r="R132" s="237"/>
    </row>
    <row r="133" spans="1:18" ht="16.5" thickBot="1" x14ac:dyDescent="0.3">
      <c r="A133" s="238"/>
      <c r="B133" s="239"/>
      <c r="C133" s="240"/>
      <c r="D133" s="240"/>
      <c r="E133" s="240"/>
      <c r="F133" s="240"/>
      <c r="G133" s="241" t="s">
        <v>108</v>
      </c>
      <c r="H133" s="242" t="s">
        <v>4</v>
      </c>
      <c r="K133" s="238"/>
      <c r="L133" s="239"/>
      <c r="M133" s="240"/>
      <c r="N133" s="240"/>
      <c r="O133" s="240"/>
      <c r="P133" s="240"/>
      <c r="Q133" s="241" t="s">
        <v>108</v>
      </c>
      <c r="R133" s="242" t="s">
        <v>4</v>
      </c>
    </row>
    <row r="134" spans="1:18" x14ac:dyDescent="0.25">
      <c r="A134" s="243">
        <v>44197</v>
      </c>
      <c r="B134" s="133"/>
      <c r="C134" s="133" t="s">
        <v>148</v>
      </c>
      <c r="D134" s="133"/>
      <c r="E134" s="133"/>
      <c r="F134" s="133"/>
      <c r="G134" s="132"/>
      <c r="H134" s="134">
        <f>VLOOKUP(C130,'Master Akun'!$A$4:$E$51,5,FALSE)</f>
        <v>75000000</v>
      </c>
      <c r="K134" s="243">
        <v>44197</v>
      </c>
      <c r="L134" s="133"/>
      <c r="M134" s="133" t="s">
        <v>148</v>
      </c>
      <c r="N134" s="133"/>
      <c r="O134" s="133"/>
      <c r="P134" s="133"/>
      <c r="Q134" s="132">
        <f>VLOOKUP(M130,'Master Akun'!$A$4:$E$51,4,FALSE)</f>
        <v>0</v>
      </c>
      <c r="R134" s="134"/>
    </row>
    <row r="135" spans="1:18" x14ac:dyDescent="0.25">
      <c r="A135" s="213">
        <v>44227</v>
      </c>
      <c r="B135" s="136"/>
      <c r="C135" s="136" t="s">
        <v>188</v>
      </c>
      <c r="D135" s="136"/>
      <c r="E135" s="137">
        <f ca="1">SUMIF('Jurnal Umum'!$B$7:$G$117,'Buku Besar'!C130,'Jurnal Umum'!$F$7:$F$117)</f>
        <v>46357500</v>
      </c>
      <c r="F135" s="136"/>
      <c r="G135" s="137"/>
      <c r="H135" s="138">
        <f ca="1">H134+F135-E135</f>
        <v>28642500</v>
      </c>
      <c r="K135" s="213">
        <v>44227</v>
      </c>
      <c r="L135" s="136"/>
      <c r="M135" s="136" t="s">
        <v>188</v>
      </c>
      <c r="N135" s="136"/>
      <c r="O135" s="137">
        <f ca="1">SUMIF('Jurnal Umum'!$B$7:$G$117,'Buku Besar'!M130,'Jurnal Umum'!$F$7:$F$117)</f>
        <v>150000</v>
      </c>
      <c r="P135" s="136"/>
      <c r="Q135" s="137">
        <f ca="1">Q134+O135-P135</f>
        <v>150000</v>
      </c>
      <c r="R135" s="138"/>
    </row>
    <row r="136" spans="1:18" ht="16.5" thickBot="1" x14ac:dyDescent="0.3">
      <c r="A136" s="214">
        <v>44227</v>
      </c>
      <c r="B136" s="215"/>
      <c r="C136" s="215" t="s">
        <v>187</v>
      </c>
      <c r="D136" s="215"/>
      <c r="E136" s="215"/>
      <c r="F136" s="244">
        <f ca="1">SUMIF('Jurnal Umum'!$B$7:$G$117,'Buku Besar'!C130,'Jurnal Umum'!$G$7:$G$117)</f>
        <v>17925000</v>
      </c>
      <c r="G136" s="244"/>
      <c r="H136" s="245">
        <f ca="1">H135-E136+F136</f>
        <v>46567500</v>
      </c>
      <c r="K136" s="214">
        <v>44227</v>
      </c>
      <c r="L136" s="215"/>
      <c r="M136" s="215" t="s">
        <v>187</v>
      </c>
      <c r="N136" s="215"/>
      <c r="O136" s="215"/>
      <c r="P136" s="244">
        <f ca="1">SUMIF('Jurnal Umum'!$B$7:$G$117,'Buku Besar'!M130,'Jurnal Umum'!$G$7:$G$117)</f>
        <v>0</v>
      </c>
      <c r="Q136" s="244">
        <f ca="1">Q135+O136-P136</f>
        <v>150000</v>
      </c>
      <c r="R136" s="245"/>
    </row>
    <row r="138" spans="1:18" ht="16.5" thickBot="1" x14ac:dyDescent="0.3"/>
    <row r="139" spans="1:18" x14ac:dyDescent="0.25">
      <c r="A139" s="224" t="s">
        <v>145</v>
      </c>
      <c r="B139" s="225"/>
      <c r="C139" s="226">
        <v>21200</v>
      </c>
      <c r="D139" s="227"/>
      <c r="E139" s="227"/>
      <c r="F139" s="227"/>
      <c r="G139" s="227"/>
      <c r="H139" s="228"/>
      <c r="K139" s="224" t="s">
        <v>145</v>
      </c>
      <c r="L139" s="225"/>
      <c r="M139" s="226">
        <v>91002</v>
      </c>
      <c r="N139" s="227"/>
      <c r="O139" s="227"/>
      <c r="P139" s="227"/>
      <c r="Q139" s="227"/>
      <c r="R139" s="228"/>
    </row>
    <row r="140" spans="1:18" ht="16.5" thickBot="1" x14ac:dyDescent="0.3">
      <c r="A140" s="229" t="s">
        <v>146</v>
      </c>
      <c r="B140" s="230"/>
      <c r="C140" s="231" t="str">
        <f>VLOOKUP(C139,'Master Akun'!$A$4:$E$52,2,FALSE)</f>
        <v>Pendapatan Diterima Dimuka-Jasa Kirim</v>
      </c>
      <c r="D140" s="231"/>
      <c r="E140" s="231"/>
      <c r="F140" s="231"/>
      <c r="G140" s="231"/>
      <c r="H140" s="232"/>
      <c r="K140" s="229" t="s">
        <v>146</v>
      </c>
      <c r="L140" s="230"/>
      <c r="M140" s="231" t="str">
        <f>VLOOKUP(M139,'Master Akun'!$A$4:$E$52,2,FALSE)</f>
        <v>Beban Bunga</v>
      </c>
      <c r="N140" s="231"/>
      <c r="O140" s="231"/>
      <c r="P140" s="231"/>
      <c r="Q140" s="231"/>
      <c r="R140" s="232"/>
    </row>
    <row r="141" spans="1:18" x14ac:dyDescent="0.25">
      <c r="A141" s="233" t="s">
        <v>106</v>
      </c>
      <c r="B141" s="234" t="s">
        <v>107</v>
      </c>
      <c r="C141" s="235" t="s">
        <v>55</v>
      </c>
      <c r="D141" s="235" t="s">
        <v>2</v>
      </c>
      <c r="E141" s="235" t="s">
        <v>108</v>
      </c>
      <c r="F141" s="235" t="s">
        <v>4</v>
      </c>
      <c r="G141" s="236" t="s">
        <v>147</v>
      </c>
      <c r="H141" s="237"/>
      <c r="K141" s="233" t="s">
        <v>106</v>
      </c>
      <c r="L141" s="234" t="s">
        <v>107</v>
      </c>
      <c r="M141" s="235" t="s">
        <v>55</v>
      </c>
      <c r="N141" s="235" t="s">
        <v>2</v>
      </c>
      <c r="O141" s="235" t="s">
        <v>108</v>
      </c>
      <c r="P141" s="235" t="s">
        <v>4</v>
      </c>
      <c r="Q141" s="236" t="s">
        <v>147</v>
      </c>
      <c r="R141" s="237"/>
    </row>
    <row r="142" spans="1:18" ht="16.5" thickBot="1" x14ac:dyDescent="0.3">
      <c r="A142" s="238"/>
      <c r="B142" s="239"/>
      <c r="C142" s="240"/>
      <c r="D142" s="240"/>
      <c r="E142" s="240"/>
      <c r="F142" s="240"/>
      <c r="G142" s="241" t="s">
        <v>108</v>
      </c>
      <c r="H142" s="242" t="s">
        <v>4</v>
      </c>
      <c r="K142" s="238"/>
      <c r="L142" s="239"/>
      <c r="M142" s="240"/>
      <c r="N142" s="240"/>
      <c r="O142" s="240"/>
      <c r="P142" s="240"/>
      <c r="Q142" s="241" t="s">
        <v>108</v>
      </c>
      <c r="R142" s="242" t="s">
        <v>4</v>
      </c>
    </row>
    <row r="143" spans="1:18" x14ac:dyDescent="0.25">
      <c r="A143" s="243">
        <v>44197</v>
      </c>
      <c r="B143" s="133"/>
      <c r="C143" s="133" t="s">
        <v>148</v>
      </c>
      <c r="D143" s="133"/>
      <c r="E143" s="133"/>
      <c r="F143" s="133"/>
      <c r="G143" s="132"/>
      <c r="H143" s="134">
        <f>VLOOKUP(C139,'Master Akun'!$A$4:$E$51,5,FALSE)</f>
        <v>0</v>
      </c>
      <c r="K143" s="243">
        <v>44197</v>
      </c>
      <c r="L143" s="133"/>
      <c r="M143" s="133" t="s">
        <v>148</v>
      </c>
      <c r="N143" s="133"/>
      <c r="O143" s="133"/>
      <c r="P143" s="133"/>
      <c r="Q143" s="132">
        <f>VLOOKUP(M139,'Master Akun'!$A$4:$E$51,4,FALSE)</f>
        <v>0</v>
      </c>
      <c r="R143" s="134"/>
    </row>
    <row r="144" spans="1:18" x14ac:dyDescent="0.25">
      <c r="A144" s="213">
        <v>44227</v>
      </c>
      <c r="B144" s="136"/>
      <c r="C144" s="136" t="s">
        <v>188</v>
      </c>
      <c r="D144" s="136"/>
      <c r="E144" s="137">
        <f ca="1">SUMIF('Jurnal Umum'!$B$7:$G$117,'Buku Besar'!C139,'Jurnal Umum'!$F$7:$F$117)</f>
        <v>0</v>
      </c>
      <c r="F144" s="136"/>
      <c r="G144" s="137"/>
      <c r="H144" s="138">
        <f ca="1">H143+F144-E144</f>
        <v>0</v>
      </c>
      <c r="K144" s="213">
        <v>44227</v>
      </c>
      <c r="L144" s="136"/>
      <c r="M144" s="136" t="s">
        <v>188</v>
      </c>
      <c r="N144" s="136"/>
      <c r="O144" s="137">
        <f ca="1">SUMIF('Jurnal Umum'!$B$7:$G$117,'Buku Besar'!M139,'Jurnal Umum'!$F$7:$F$117)</f>
        <v>1500000</v>
      </c>
      <c r="P144" s="136"/>
      <c r="Q144" s="137">
        <f ca="1">Q143+O144-P144</f>
        <v>1500000</v>
      </c>
      <c r="R144" s="138"/>
    </row>
    <row r="145" spans="1:18" ht="16.5" thickBot="1" x14ac:dyDescent="0.3">
      <c r="A145" s="214">
        <v>44227</v>
      </c>
      <c r="B145" s="215"/>
      <c r="C145" s="215" t="s">
        <v>187</v>
      </c>
      <c r="D145" s="215"/>
      <c r="E145" s="215"/>
      <c r="F145" s="244">
        <f ca="1">SUMIF('Jurnal Umum'!$B$7:$G$117,'Buku Besar'!C139,'Jurnal Umum'!$G$7:$G$117)</f>
        <v>200000</v>
      </c>
      <c r="G145" s="244"/>
      <c r="H145" s="245">
        <f ca="1">F145</f>
        <v>200000</v>
      </c>
      <c r="K145" s="214">
        <v>44227</v>
      </c>
      <c r="L145" s="215"/>
      <c r="M145" s="215" t="s">
        <v>187</v>
      </c>
      <c r="N145" s="215"/>
      <c r="O145" s="215"/>
      <c r="P145" s="244">
        <f ca="1">SUMIF('Jurnal Umum'!$B$7:$G$117,'Buku Besar'!M139,'Jurnal Umum'!$G$7:$G$117)</f>
        <v>0</v>
      </c>
      <c r="Q145" s="244">
        <f ca="1">Q144+O145-P145</f>
        <v>1500000</v>
      </c>
      <c r="R145" s="245"/>
    </row>
    <row r="147" spans="1:18" ht="16.5" thickBot="1" x14ac:dyDescent="0.3"/>
    <row r="148" spans="1:18" x14ac:dyDescent="0.25">
      <c r="A148" s="224" t="s">
        <v>145</v>
      </c>
      <c r="B148" s="225"/>
      <c r="C148" s="226">
        <v>21300</v>
      </c>
      <c r="D148" s="227"/>
      <c r="E148" s="227"/>
      <c r="F148" s="227"/>
      <c r="G148" s="227"/>
      <c r="H148" s="228"/>
    </row>
    <row r="149" spans="1:18" ht="16.5" thickBot="1" x14ac:dyDescent="0.3">
      <c r="A149" s="229" t="s">
        <v>146</v>
      </c>
      <c r="B149" s="230"/>
      <c r="C149" s="231" t="str">
        <f>VLOOKUP(C148,'Master Akun'!$A$4:$E$52,2,FALSE)</f>
        <v>Hutang Bunga</v>
      </c>
      <c r="D149" s="231"/>
      <c r="E149" s="231"/>
      <c r="F149" s="231"/>
      <c r="G149" s="231"/>
      <c r="H149" s="232"/>
    </row>
    <row r="150" spans="1:18" x14ac:dyDescent="0.25">
      <c r="A150" s="233" t="s">
        <v>106</v>
      </c>
      <c r="B150" s="234" t="s">
        <v>107</v>
      </c>
      <c r="C150" s="235" t="s">
        <v>55</v>
      </c>
      <c r="D150" s="235" t="s">
        <v>2</v>
      </c>
      <c r="E150" s="235" t="s">
        <v>108</v>
      </c>
      <c r="F150" s="235" t="s">
        <v>4</v>
      </c>
      <c r="G150" s="236" t="s">
        <v>147</v>
      </c>
      <c r="H150" s="237"/>
    </row>
    <row r="151" spans="1:18" ht="16.5" thickBot="1" x14ac:dyDescent="0.3">
      <c r="A151" s="238"/>
      <c r="B151" s="239"/>
      <c r="C151" s="240"/>
      <c r="D151" s="240"/>
      <c r="E151" s="240"/>
      <c r="F151" s="240"/>
      <c r="G151" s="241" t="s">
        <v>108</v>
      </c>
      <c r="H151" s="242" t="s">
        <v>4</v>
      </c>
    </row>
    <row r="152" spans="1:18" x14ac:dyDescent="0.25">
      <c r="A152" s="243">
        <v>44197</v>
      </c>
      <c r="B152" s="133"/>
      <c r="C152" s="133" t="s">
        <v>148</v>
      </c>
      <c r="D152" s="133"/>
      <c r="E152" s="133"/>
      <c r="F152" s="133"/>
      <c r="G152" s="132"/>
      <c r="H152" s="134">
        <f>VLOOKUP(C148,'Master Akun'!$A$4:$E$51,5,FALSE)</f>
        <v>0</v>
      </c>
    </row>
    <row r="153" spans="1:18" x14ac:dyDescent="0.25">
      <c r="A153" s="213">
        <v>44227</v>
      </c>
      <c r="B153" s="136"/>
      <c r="C153" s="136" t="s">
        <v>188</v>
      </c>
      <c r="D153" s="136"/>
      <c r="E153" s="137">
        <f ca="1">SUMIF('Jurnal Umum'!$B$7:$G$117,'Buku Besar'!C148,'Jurnal Umum'!$F$7:$F$117)</f>
        <v>0</v>
      </c>
      <c r="F153" s="136"/>
      <c r="G153" s="137"/>
      <c r="H153" s="138">
        <f ca="1">H152+F153-E153</f>
        <v>0</v>
      </c>
    </row>
    <row r="154" spans="1:18" ht="16.5" thickBot="1" x14ac:dyDescent="0.3">
      <c r="A154" s="214">
        <v>44227</v>
      </c>
      <c r="B154" s="215"/>
      <c r="C154" s="215" t="s">
        <v>187</v>
      </c>
      <c r="D154" s="215"/>
      <c r="E154" s="215"/>
      <c r="F154" s="244">
        <f ca="1">SUMIF('Jurnal Umum'!$B$7:$G$117,'Buku Besar'!C148,'Jurnal Umum'!$G$7:$G$117)</f>
        <v>1500000</v>
      </c>
      <c r="G154" s="244"/>
      <c r="H154" s="245">
        <f ca="1">H153+F154</f>
        <v>1500000</v>
      </c>
    </row>
    <row r="156" spans="1:18" ht="16.5" thickBot="1" x14ac:dyDescent="0.3"/>
    <row r="157" spans="1:18" x14ac:dyDescent="0.25">
      <c r="A157" s="224" t="s">
        <v>145</v>
      </c>
      <c r="B157" s="225"/>
      <c r="C157" s="226">
        <v>21400</v>
      </c>
      <c r="D157" s="227"/>
      <c r="E157" s="227"/>
      <c r="F157" s="227"/>
      <c r="G157" s="227"/>
      <c r="H157" s="228"/>
    </row>
    <row r="158" spans="1:18" ht="16.5" thickBot="1" x14ac:dyDescent="0.3">
      <c r="A158" s="229" t="s">
        <v>146</v>
      </c>
      <c r="B158" s="230"/>
      <c r="C158" s="231" t="str">
        <f>VLOOKUP(C157,'Master Akun'!$A$4:$E$52,2,FALSE)</f>
        <v>Hutang Pajak</v>
      </c>
      <c r="D158" s="231"/>
      <c r="E158" s="231"/>
      <c r="F158" s="231"/>
      <c r="G158" s="231"/>
      <c r="H158" s="232"/>
    </row>
    <row r="159" spans="1:18" x14ac:dyDescent="0.25">
      <c r="A159" s="233" t="s">
        <v>106</v>
      </c>
      <c r="B159" s="234" t="s">
        <v>107</v>
      </c>
      <c r="C159" s="235" t="s">
        <v>55</v>
      </c>
      <c r="D159" s="235" t="s">
        <v>2</v>
      </c>
      <c r="E159" s="235" t="s">
        <v>108</v>
      </c>
      <c r="F159" s="235" t="s">
        <v>4</v>
      </c>
      <c r="G159" s="236" t="s">
        <v>147</v>
      </c>
      <c r="H159" s="237"/>
    </row>
    <row r="160" spans="1:18" ht="16.5" thickBot="1" x14ac:dyDescent="0.3">
      <c r="A160" s="238"/>
      <c r="B160" s="239"/>
      <c r="C160" s="240"/>
      <c r="D160" s="240"/>
      <c r="E160" s="240"/>
      <c r="F160" s="240"/>
      <c r="G160" s="241" t="s">
        <v>108</v>
      </c>
      <c r="H160" s="242" t="s">
        <v>4</v>
      </c>
    </row>
    <row r="161" spans="1:13" x14ac:dyDescent="0.25">
      <c r="A161" s="243">
        <v>44197</v>
      </c>
      <c r="B161" s="133"/>
      <c r="C161" s="133" t="s">
        <v>148</v>
      </c>
      <c r="D161" s="133"/>
      <c r="E161" s="133"/>
      <c r="F161" s="133"/>
      <c r="G161" s="132"/>
      <c r="H161" s="134">
        <f>VLOOKUP(C157,'Master Akun'!$A$4:$E$51,5,FALSE)</f>
        <v>0</v>
      </c>
    </row>
    <row r="162" spans="1:13" x14ac:dyDescent="0.25">
      <c r="A162" s="213">
        <v>44227</v>
      </c>
      <c r="B162" s="136"/>
      <c r="C162" s="136" t="s">
        <v>188</v>
      </c>
      <c r="D162" s="136"/>
      <c r="E162" s="137">
        <f ca="1">SUMIF('Jurnal Umum'!$B$7:$G$117,'Buku Besar'!C157,'Jurnal Umum'!$F$7:$F$117)</f>
        <v>0</v>
      </c>
      <c r="F162" s="136"/>
      <c r="G162" s="137"/>
      <c r="H162" s="138">
        <f ca="1">H161+F162-E162</f>
        <v>0</v>
      </c>
    </row>
    <row r="163" spans="1:13" ht="16.5" thickBot="1" x14ac:dyDescent="0.3">
      <c r="A163" s="214">
        <v>44227</v>
      </c>
      <c r="B163" s="215"/>
      <c r="C163" s="215" t="s">
        <v>187</v>
      </c>
      <c r="D163" s="215"/>
      <c r="E163" s="215"/>
      <c r="F163" s="244">
        <f ca="1">SUMIF('Jurnal Umum'!$B$7:$G$117,'Buku Besar'!C157,'Jurnal Umum'!$G$7:$G$117)</f>
        <v>0</v>
      </c>
      <c r="G163" s="244"/>
      <c r="H163" s="245">
        <f ca="1">H162-F163+E163</f>
        <v>0</v>
      </c>
      <c r="M163" s="40" t="s">
        <v>131</v>
      </c>
    </row>
    <row r="165" spans="1:13" ht="16.5" thickBot="1" x14ac:dyDescent="0.3"/>
    <row r="166" spans="1:13" x14ac:dyDescent="0.25">
      <c r="A166" s="224" t="s">
        <v>145</v>
      </c>
      <c r="B166" s="225"/>
      <c r="C166" s="226">
        <v>21401</v>
      </c>
      <c r="D166" s="227"/>
      <c r="E166" s="227"/>
      <c r="F166" s="227"/>
      <c r="G166" s="227"/>
      <c r="H166" s="228"/>
    </row>
    <row r="167" spans="1:13" ht="16.5" thickBot="1" x14ac:dyDescent="0.3">
      <c r="A167" s="229" t="s">
        <v>146</v>
      </c>
      <c r="B167" s="230"/>
      <c r="C167" s="231" t="str">
        <f>VLOOKUP(C166,'Master Akun'!$A$4:$E$52,2,FALSE)</f>
        <v>Hutang PPh pasal 21</v>
      </c>
      <c r="D167" s="231"/>
      <c r="E167" s="231"/>
      <c r="F167" s="231"/>
      <c r="G167" s="231"/>
      <c r="H167" s="232"/>
    </row>
    <row r="168" spans="1:13" x14ac:dyDescent="0.25">
      <c r="A168" s="233" t="s">
        <v>106</v>
      </c>
      <c r="B168" s="234" t="s">
        <v>107</v>
      </c>
      <c r="C168" s="235" t="s">
        <v>55</v>
      </c>
      <c r="D168" s="235" t="s">
        <v>2</v>
      </c>
      <c r="E168" s="235" t="s">
        <v>108</v>
      </c>
      <c r="F168" s="235" t="s">
        <v>4</v>
      </c>
      <c r="G168" s="236" t="s">
        <v>147</v>
      </c>
      <c r="H168" s="237"/>
    </row>
    <row r="169" spans="1:13" ht="16.5" thickBot="1" x14ac:dyDescent="0.3">
      <c r="A169" s="238"/>
      <c r="B169" s="239"/>
      <c r="C169" s="240"/>
      <c r="D169" s="240"/>
      <c r="E169" s="240"/>
      <c r="F169" s="240"/>
      <c r="G169" s="241" t="s">
        <v>108</v>
      </c>
      <c r="H169" s="242" t="s">
        <v>4</v>
      </c>
    </row>
    <row r="170" spans="1:13" x14ac:dyDescent="0.25">
      <c r="A170" s="243">
        <v>44197</v>
      </c>
      <c r="B170" s="133"/>
      <c r="C170" s="133" t="s">
        <v>148</v>
      </c>
      <c r="D170" s="133"/>
      <c r="E170" s="133"/>
      <c r="F170" s="133"/>
      <c r="G170" s="132"/>
      <c r="H170" s="134">
        <f>VLOOKUP(C166,'Master Akun'!$A$4:$E$51,5,FALSE)</f>
        <v>0</v>
      </c>
    </row>
    <row r="171" spans="1:13" x14ac:dyDescent="0.25">
      <c r="A171" s="213">
        <v>44227</v>
      </c>
      <c r="B171" s="136"/>
      <c r="C171" s="136" t="s">
        <v>188</v>
      </c>
      <c r="D171" s="136"/>
      <c r="E171" s="137">
        <f ca="1">SUMIF('Jurnal Umum'!$B$7:$G$117,'Buku Besar'!C166,'Jurnal Umum'!$F$7:$F$117)</f>
        <v>0</v>
      </c>
      <c r="F171" s="136"/>
      <c r="G171" s="137"/>
      <c r="H171" s="138">
        <f ca="1">H170+F171-E171</f>
        <v>0</v>
      </c>
    </row>
    <row r="172" spans="1:13" ht="16.5" thickBot="1" x14ac:dyDescent="0.3">
      <c r="A172" s="214">
        <v>44227</v>
      </c>
      <c r="B172" s="215"/>
      <c r="C172" s="215" t="s">
        <v>187</v>
      </c>
      <c r="D172" s="215"/>
      <c r="E172" s="215"/>
      <c r="F172" s="244">
        <f ca="1">SUMIF('Jurnal Umum'!$B$7:$G$117,'Buku Besar'!C166,'Jurnal Umum'!$G$7:$G$117)</f>
        <v>725000</v>
      </c>
      <c r="G172" s="244"/>
      <c r="H172" s="245">
        <f ca="1">H171+F172</f>
        <v>725000</v>
      </c>
    </row>
    <row r="174" spans="1:13" ht="16.5" thickBot="1" x14ac:dyDescent="0.3"/>
    <row r="175" spans="1:13" x14ac:dyDescent="0.25">
      <c r="A175" s="224" t="s">
        <v>145</v>
      </c>
      <c r="B175" s="225"/>
      <c r="C175" s="226">
        <v>21402</v>
      </c>
      <c r="D175" s="227"/>
      <c r="E175" s="227"/>
      <c r="F175" s="227"/>
      <c r="G175" s="227"/>
      <c r="H175" s="228"/>
    </row>
    <row r="176" spans="1:13" ht="16.5" thickBot="1" x14ac:dyDescent="0.3">
      <c r="A176" s="229" t="s">
        <v>146</v>
      </c>
      <c r="B176" s="230"/>
      <c r="C176" s="231" t="str">
        <f>VLOOKUP(C175,'Master Akun'!$A$4:$E$52,2,FALSE)</f>
        <v>Hutang PPh pasal 4</v>
      </c>
      <c r="D176" s="231"/>
      <c r="E176" s="231"/>
      <c r="F176" s="231"/>
      <c r="G176" s="231"/>
      <c r="H176" s="232"/>
    </row>
    <row r="177" spans="1:8" x14ac:dyDescent="0.25">
      <c r="A177" s="233" t="s">
        <v>106</v>
      </c>
      <c r="B177" s="234" t="s">
        <v>107</v>
      </c>
      <c r="C177" s="235" t="s">
        <v>55</v>
      </c>
      <c r="D177" s="235" t="s">
        <v>2</v>
      </c>
      <c r="E177" s="235" t="s">
        <v>108</v>
      </c>
      <c r="F177" s="235" t="s">
        <v>4</v>
      </c>
      <c r="G177" s="236" t="s">
        <v>147</v>
      </c>
      <c r="H177" s="237"/>
    </row>
    <row r="178" spans="1:8" ht="16.5" thickBot="1" x14ac:dyDescent="0.3">
      <c r="A178" s="238"/>
      <c r="B178" s="239"/>
      <c r="C178" s="240"/>
      <c r="D178" s="240"/>
      <c r="E178" s="240"/>
      <c r="F178" s="240"/>
      <c r="G178" s="241" t="s">
        <v>108</v>
      </c>
      <c r="H178" s="242" t="s">
        <v>4</v>
      </c>
    </row>
    <row r="179" spans="1:8" x14ac:dyDescent="0.25">
      <c r="A179" s="243">
        <v>44197</v>
      </c>
      <c r="B179" s="133"/>
      <c r="C179" s="133" t="s">
        <v>148</v>
      </c>
      <c r="D179" s="133"/>
      <c r="E179" s="133"/>
      <c r="F179" s="133"/>
      <c r="G179" s="132"/>
      <c r="H179" s="134">
        <f>VLOOKUP(C175,'Master Akun'!$A$4:$E$51,5,FALSE)</f>
        <v>0</v>
      </c>
    </row>
    <row r="180" spans="1:8" x14ac:dyDescent="0.25">
      <c r="A180" s="213">
        <v>44227</v>
      </c>
      <c r="B180" s="136"/>
      <c r="C180" s="136" t="s">
        <v>188</v>
      </c>
      <c r="D180" s="136"/>
      <c r="E180" s="137">
        <f ca="1">SUMIF('Jurnal Umum'!$B$7:$G$117,'Buku Besar'!C175,'Jurnal Umum'!$F$7:$F$117)</f>
        <v>0</v>
      </c>
      <c r="F180" s="136"/>
      <c r="G180" s="137"/>
      <c r="H180" s="138">
        <f ca="1">H179+F180-E180</f>
        <v>0</v>
      </c>
    </row>
    <row r="181" spans="1:8" ht="16.5" thickBot="1" x14ac:dyDescent="0.3">
      <c r="A181" s="214">
        <v>44227</v>
      </c>
      <c r="B181" s="215"/>
      <c r="C181" s="215" t="s">
        <v>187</v>
      </c>
      <c r="D181" s="215"/>
      <c r="E181" s="215"/>
      <c r="F181" s="244">
        <f ca="1">SUMIF('Jurnal Umum'!$B$7:$G$117,'Buku Besar'!C175,'Jurnal Umum'!$G$7:$G$117)</f>
        <v>250000</v>
      </c>
      <c r="G181" s="244"/>
      <c r="H181" s="245">
        <f ca="1">H180+F181</f>
        <v>250000</v>
      </c>
    </row>
    <row r="183" spans="1:8" ht="16.5" thickBot="1" x14ac:dyDescent="0.3"/>
    <row r="184" spans="1:8" x14ac:dyDescent="0.25">
      <c r="A184" s="224" t="s">
        <v>145</v>
      </c>
      <c r="B184" s="225"/>
      <c r="C184" s="226">
        <v>21403</v>
      </c>
      <c r="D184" s="227"/>
      <c r="E184" s="227"/>
      <c r="F184" s="227"/>
      <c r="G184" s="227"/>
      <c r="H184" s="228"/>
    </row>
    <row r="185" spans="1:8" ht="16.5" thickBot="1" x14ac:dyDescent="0.3">
      <c r="A185" s="229" t="s">
        <v>146</v>
      </c>
      <c r="B185" s="230"/>
      <c r="C185" s="231" t="str">
        <f>VLOOKUP(C184,'Master Akun'!$A$4:$E$52,2,FALSE)</f>
        <v>PPN Keluaran</v>
      </c>
      <c r="D185" s="231"/>
      <c r="E185" s="231"/>
      <c r="F185" s="231"/>
      <c r="G185" s="231"/>
      <c r="H185" s="232"/>
    </row>
    <row r="186" spans="1:8" x14ac:dyDescent="0.25">
      <c r="A186" s="233" t="s">
        <v>106</v>
      </c>
      <c r="B186" s="234" t="s">
        <v>107</v>
      </c>
      <c r="C186" s="235" t="s">
        <v>55</v>
      </c>
      <c r="D186" s="235" t="s">
        <v>2</v>
      </c>
      <c r="E186" s="235" t="s">
        <v>108</v>
      </c>
      <c r="F186" s="235" t="s">
        <v>4</v>
      </c>
      <c r="G186" s="236" t="s">
        <v>147</v>
      </c>
      <c r="H186" s="237"/>
    </row>
    <row r="187" spans="1:8" ht="16.5" thickBot="1" x14ac:dyDescent="0.3">
      <c r="A187" s="238"/>
      <c r="B187" s="239"/>
      <c r="C187" s="240"/>
      <c r="D187" s="240"/>
      <c r="E187" s="240"/>
      <c r="F187" s="240"/>
      <c r="G187" s="241" t="s">
        <v>108</v>
      </c>
      <c r="H187" s="242" t="s">
        <v>4</v>
      </c>
    </row>
    <row r="188" spans="1:8" x14ac:dyDescent="0.25">
      <c r="A188" s="243">
        <v>44197</v>
      </c>
      <c r="B188" s="133"/>
      <c r="C188" s="133" t="s">
        <v>148</v>
      </c>
      <c r="D188" s="133"/>
      <c r="E188" s="133"/>
      <c r="F188" s="133"/>
      <c r="G188" s="132"/>
      <c r="H188" s="134">
        <f>VLOOKUP(C184,'Master Akun'!$A$4:$E$51,5,FALSE)</f>
        <v>0</v>
      </c>
    </row>
    <row r="189" spans="1:8" x14ac:dyDescent="0.25">
      <c r="A189" s="213">
        <v>44227</v>
      </c>
      <c r="B189" s="136"/>
      <c r="C189" s="136" t="s">
        <v>188</v>
      </c>
      <c r="D189" s="136"/>
      <c r="E189" s="137">
        <f ca="1">SUMIF('Jurnal Umum'!$B$7:$G$117,'Buku Besar'!C184,'Jurnal Umum'!$F$7:$F$117)</f>
        <v>212500</v>
      </c>
      <c r="F189" s="136"/>
      <c r="G189" s="137"/>
      <c r="H189" s="138">
        <f ca="1">H188-E189+F189</f>
        <v>-212500</v>
      </c>
    </row>
    <row r="190" spans="1:8" ht="16.5" thickBot="1" x14ac:dyDescent="0.3">
      <c r="A190" s="214">
        <v>44227</v>
      </c>
      <c r="B190" s="215"/>
      <c r="C190" s="215" t="s">
        <v>187</v>
      </c>
      <c r="D190" s="215"/>
      <c r="E190" s="215"/>
      <c r="F190" s="244">
        <f ca="1">SUMIF('Jurnal Umum'!$B$7:$G$117,'Buku Besar'!C184,'Jurnal Umum'!$G$7:$G$117)</f>
        <v>14182250</v>
      </c>
      <c r="G190" s="244"/>
      <c r="H190" s="245">
        <f ca="1">H189-E190+F190</f>
        <v>13969750</v>
      </c>
    </row>
    <row r="192" spans="1:8" ht="16.5" thickBot="1" x14ac:dyDescent="0.3"/>
    <row r="193" spans="1:8" x14ac:dyDescent="0.25">
      <c r="A193" s="224" t="s">
        <v>145</v>
      </c>
      <c r="B193" s="225"/>
      <c r="C193" s="226">
        <v>22001</v>
      </c>
      <c r="D193" s="227"/>
      <c r="E193" s="227"/>
      <c r="F193" s="227"/>
      <c r="G193" s="227"/>
      <c r="H193" s="228"/>
    </row>
    <row r="194" spans="1:8" ht="16.5" thickBot="1" x14ac:dyDescent="0.3">
      <c r="A194" s="229" t="s">
        <v>146</v>
      </c>
      <c r="B194" s="230"/>
      <c r="C194" s="231" t="str">
        <f>VLOOKUP(C193,'Master Akun'!$A$4:$E$52,2,FALSE)</f>
        <v>Hutang Bank Mandiri</v>
      </c>
      <c r="D194" s="231"/>
      <c r="E194" s="231"/>
      <c r="F194" s="231"/>
      <c r="G194" s="231"/>
      <c r="H194" s="232"/>
    </row>
    <row r="195" spans="1:8" x14ac:dyDescent="0.25">
      <c r="A195" s="233" t="s">
        <v>106</v>
      </c>
      <c r="B195" s="234" t="s">
        <v>107</v>
      </c>
      <c r="C195" s="235" t="s">
        <v>55</v>
      </c>
      <c r="D195" s="235" t="s">
        <v>2</v>
      </c>
      <c r="E195" s="235" t="s">
        <v>108</v>
      </c>
      <c r="F195" s="235" t="s">
        <v>4</v>
      </c>
      <c r="G195" s="236" t="s">
        <v>147</v>
      </c>
      <c r="H195" s="237"/>
    </row>
    <row r="196" spans="1:8" ht="16.5" thickBot="1" x14ac:dyDescent="0.3">
      <c r="A196" s="238"/>
      <c r="B196" s="239"/>
      <c r="C196" s="240"/>
      <c r="D196" s="240"/>
      <c r="E196" s="240"/>
      <c r="F196" s="240"/>
      <c r="G196" s="241" t="s">
        <v>108</v>
      </c>
      <c r="H196" s="242" t="s">
        <v>4</v>
      </c>
    </row>
    <row r="197" spans="1:8" x14ac:dyDescent="0.25">
      <c r="A197" s="243">
        <v>44197</v>
      </c>
      <c r="B197" s="133"/>
      <c r="C197" s="133" t="s">
        <v>148</v>
      </c>
      <c r="D197" s="133"/>
      <c r="E197" s="133"/>
      <c r="F197" s="133"/>
      <c r="G197" s="132"/>
      <c r="H197" s="134">
        <f>VLOOKUP(C193,'Master Akun'!$A$4:$E$51,5,FALSE)</f>
        <v>75000000</v>
      </c>
    </row>
    <row r="198" spans="1:8" x14ac:dyDescent="0.25">
      <c r="A198" s="213">
        <v>44227</v>
      </c>
      <c r="B198" s="136"/>
      <c r="C198" s="136" t="s">
        <v>188</v>
      </c>
      <c r="D198" s="136"/>
      <c r="E198" s="137">
        <f ca="1">SUMIF('Jurnal Umum'!$B$7:$G$117,'Buku Besar'!C193,'Jurnal Umum'!$F$7:$F$117)</f>
        <v>0</v>
      </c>
      <c r="F198" s="136"/>
      <c r="G198" s="137"/>
      <c r="H198" s="138">
        <f ca="1">H197-E198+F198</f>
        <v>75000000</v>
      </c>
    </row>
    <row r="199" spans="1:8" ht="16.5" thickBot="1" x14ac:dyDescent="0.3">
      <c r="A199" s="214">
        <v>44227</v>
      </c>
      <c r="B199" s="215"/>
      <c r="C199" s="215" t="s">
        <v>187</v>
      </c>
      <c r="D199" s="215"/>
      <c r="E199" s="215"/>
      <c r="F199" s="244">
        <f ca="1">SUMIF('Jurnal Umum'!$B$7:$G$117,'Buku Besar'!C193,'Jurnal Umum'!$G$7:$G$117)</f>
        <v>0</v>
      </c>
      <c r="G199" s="244"/>
      <c r="H199" s="245">
        <f ca="1">H198-E199+F199</f>
        <v>75000000</v>
      </c>
    </row>
    <row r="201" spans="1:8" ht="16.5" thickBot="1" x14ac:dyDescent="0.3"/>
    <row r="202" spans="1:8" x14ac:dyDescent="0.25">
      <c r="A202" s="224" t="s">
        <v>145</v>
      </c>
      <c r="B202" s="225"/>
      <c r="C202" s="226">
        <v>31000</v>
      </c>
      <c r="D202" s="227"/>
      <c r="E202" s="227"/>
      <c r="F202" s="227"/>
      <c r="G202" s="227"/>
      <c r="H202" s="228"/>
    </row>
    <row r="203" spans="1:8" ht="16.5" thickBot="1" x14ac:dyDescent="0.3">
      <c r="A203" s="229" t="s">
        <v>146</v>
      </c>
      <c r="B203" s="230"/>
      <c r="C203" s="231" t="str">
        <f>VLOOKUP(C202,'Master Akun'!$A$4:$E$52,2,FALSE)</f>
        <v>Modal Saham</v>
      </c>
      <c r="D203" s="231"/>
      <c r="E203" s="231"/>
      <c r="F203" s="231"/>
      <c r="G203" s="231"/>
      <c r="H203" s="232"/>
    </row>
    <row r="204" spans="1:8" x14ac:dyDescent="0.25">
      <c r="A204" s="233" t="s">
        <v>106</v>
      </c>
      <c r="B204" s="234" t="s">
        <v>107</v>
      </c>
      <c r="C204" s="235" t="s">
        <v>55</v>
      </c>
      <c r="D204" s="235" t="s">
        <v>2</v>
      </c>
      <c r="E204" s="235" t="s">
        <v>108</v>
      </c>
      <c r="F204" s="235" t="s">
        <v>4</v>
      </c>
      <c r="G204" s="236" t="s">
        <v>147</v>
      </c>
      <c r="H204" s="237"/>
    </row>
    <row r="205" spans="1:8" ht="16.5" thickBot="1" x14ac:dyDescent="0.3">
      <c r="A205" s="238"/>
      <c r="B205" s="239"/>
      <c r="C205" s="240"/>
      <c r="D205" s="240"/>
      <c r="E205" s="240"/>
      <c r="F205" s="240"/>
      <c r="G205" s="241" t="s">
        <v>108</v>
      </c>
      <c r="H205" s="242" t="s">
        <v>4</v>
      </c>
    </row>
    <row r="206" spans="1:8" x14ac:dyDescent="0.25">
      <c r="A206" s="243">
        <v>44197</v>
      </c>
      <c r="B206" s="133"/>
      <c r="C206" s="133" t="s">
        <v>148</v>
      </c>
      <c r="D206" s="133"/>
      <c r="E206" s="133"/>
      <c r="F206" s="133"/>
      <c r="G206" s="132"/>
      <c r="H206" s="134">
        <f>VLOOKUP(C202,'Master Akun'!$A$4:$E$51,5,FALSE)</f>
        <v>150000000</v>
      </c>
    </row>
    <row r="207" spans="1:8" x14ac:dyDescent="0.25">
      <c r="A207" s="213">
        <v>44227</v>
      </c>
      <c r="B207" s="136"/>
      <c r="C207" s="136" t="s">
        <v>188</v>
      </c>
      <c r="D207" s="136"/>
      <c r="E207" s="137">
        <f ca="1">SUMIF('Jurnal Umum'!$B$7:$G$117,'Buku Besar'!C202,'Jurnal Umum'!$F$7:$F$117)</f>
        <v>0</v>
      </c>
      <c r="F207" s="136"/>
      <c r="G207" s="137"/>
      <c r="H207" s="138">
        <f ca="1">H206-E207+F207</f>
        <v>150000000</v>
      </c>
    </row>
    <row r="208" spans="1:8" ht="16.5" thickBot="1" x14ac:dyDescent="0.3">
      <c r="A208" s="214">
        <v>44227</v>
      </c>
      <c r="B208" s="215"/>
      <c r="C208" s="215" t="s">
        <v>187</v>
      </c>
      <c r="D208" s="215"/>
      <c r="E208" s="215"/>
      <c r="F208" s="244">
        <f ca="1">SUMIF('Jurnal Umum'!$B$7:$G$117,'Buku Besar'!C202,'Jurnal Umum'!$G$7:$G$117)</f>
        <v>0</v>
      </c>
      <c r="G208" s="244"/>
      <c r="H208" s="245">
        <f ca="1">H207-E208+F208</f>
        <v>150000000</v>
      </c>
    </row>
    <row r="210" spans="1:8" ht="16.5" thickBot="1" x14ac:dyDescent="0.3"/>
    <row r="211" spans="1:8" x14ac:dyDescent="0.25">
      <c r="A211" s="224" t="s">
        <v>145</v>
      </c>
      <c r="B211" s="225"/>
      <c r="C211" s="226">
        <v>32000</v>
      </c>
      <c r="D211" s="227"/>
      <c r="E211" s="227"/>
      <c r="F211" s="227"/>
      <c r="G211" s="227"/>
      <c r="H211" s="228"/>
    </row>
    <row r="212" spans="1:8" ht="16.5" thickBot="1" x14ac:dyDescent="0.3">
      <c r="A212" s="229" t="s">
        <v>146</v>
      </c>
      <c r="B212" s="230"/>
      <c r="C212" s="231" t="str">
        <f>VLOOKUP(C211,'Master Akun'!$A$4:$E$52,2,FALSE)</f>
        <v>Laba Ditahan Periode Lalu</v>
      </c>
      <c r="D212" s="231"/>
      <c r="E212" s="231"/>
      <c r="F212" s="231"/>
      <c r="G212" s="231"/>
      <c r="H212" s="232"/>
    </row>
    <row r="213" spans="1:8" x14ac:dyDescent="0.25">
      <c r="A213" s="233" t="s">
        <v>106</v>
      </c>
      <c r="B213" s="234" t="s">
        <v>107</v>
      </c>
      <c r="C213" s="235" t="s">
        <v>55</v>
      </c>
      <c r="D213" s="235" t="s">
        <v>2</v>
      </c>
      <c r="E213" s="235" t="s">
        <v>108</v>
      </c>
      <c r="F213" s="235" t="s">
        <v>4</v>
      </c>
      <c r="G213" s="236" t="s">
        <v>147</v>
      </c>
      <c r="H213" s="237"/>
    </row>
    <row r="214" spans="1:8" ht="16.5" thickBot="1" x14ac:dyDescent="0.3">
      <c r="A214" s="238"/>
      <c r="B214" s="239"/>
      <c r="C214" s="240"/>
      <c r="D214" s="240"/>
      <c r="E214" s="240"/>
      <c r="F214" s="240"/>
      <c r="G214" s="241" t="s">
        <v>108</v>
      </c>
      <c r="H214" s="242" t="s">
        <v>4</v>
      </c>
    </row>
    <row r="215" spans="1:8" x14ac:dyDescent="0.25">
      <c r="A215" s="243">
        <v>44197</v>
      </c>
      <c r="B215" s="133"/>
      <c r="C215" s="133" t="s">
        <v>148</v>
      </c>
      <c r="D215" s="133"/>
      <c r="E215" s="133"/>
      <c r="F215" s="133"/>
      <c r="G215" s="132"/>
      <c r="H215" s="134">
        <f>VLOOKUP(C211,'Master Akun'!$A$4:$E$51,5,FALSE)</f>
        <v>24630000</v>
      </c>
    </row>
    <row r="216" spans="1:8" x14ac:dyDescent="0.25">
      <c r="A216" s="213">
        <v>44227</v>
      </c>
      <c r="B216" s="136"/>
      <c r="C216" s="136" t="s">
        <v>188</v>
      </c>
      <c r="D216" s="136"/>
      <c r="E216" s="137">
        <f ca="1">SUMIF('Jurnal Umum'!$B$7:$G$117,'Buku Besar'!C211,'Jurnal Umum'!$F$7:$F$117)</f>
        <v>0</v>
      </c>
      <c r="F216" s="136"/>
      <c r="G216" s="137"/>
      <c r="H216" s="138">
        <f ca="1">H215-E216+F216</f>
        <v>24630000</v>
      </c>
    </row>
    <row r="217" spans="1:8" ht="16.5" thickBot="1" x14ac:dyDescent="0.3">
      <c r="A217" s="214">
        <v>44227</v>
      </c>
      <c r="B217" s="215"/>
      <c r="C217" s="215" t="s">
        <v>187</v>
      </c>
      <c r="D217" s="215"/>
      <c r="E217" s="215"/>
      <c r="F217" s="244">
        <f ca="1">SUMIF('Jurnal Umum'!$B$7:$G$117,'Buku Besar'!C211,'Jurnal Umum'!$G$7:$G$117)</f>
        <v>0</v>
      </c>
      <c r="G217" s="244"/>
      <c r="H217" s="245">
        <f ca="1">H216-E217+F217</f>
        <v>24630000</v>
      </c>
    </row>
    <row r="219" spans="1:8" ht="16.5" thickBot="1" x14ac:dyDescent="0.3"/>
    <row r="220" spans="1:8" x14ac:dyDescent="0.25">
      <c r="A220" s="224" t="s">
        <v>145</v>
      </c>
      <c r="B220" s="225"/>
      <c r="C220" s="226">
        <v>33000</v>
      </c>
      <c r="D220" s="227"/>
      <c r="E220" s="227"/>
      <c r="F220" s="227"/>
      <c r="G220" s="227"/>
      <c r="H220" s="228"/>
    </row>
    <row r="221" spans="1:8" ht="16.5" thickBot="1" x14ac:dyDescent="0.3">
      <c r="A221" s="229" t="s">
        <v>146</v>
      </c>
      <c r="B221" s="230"/>
      <c r="C221" s="231" t="str">
        <f>VLOOKUP(C220,'Master Akun'!$A$4:$E$52,2,FALSE)</f>
        <v>Laba Ditahan Periode Berjalan</v>
      </c>
      <c r="D221" s="231"/>
      <c r="E221" s="231"/>
      <c r="F221" s="231"/>
      <c r="G221" s="231"/>
      <c r="H221" s="232"/>
    </row>
    <row r="222" spans="1:8" x14ac:dyDescent="0.25">
      <c r="A222" s="233" t="s">
        <v>106</v>
      </c>
      <c r="B222" s="234" t="s">
        <v>107</v>
      </c>
      <c r="C222" s="235" t="s">
        <v>55</v>
      </c>
      <c r="D222" s="235" t="s">
        <v>2</v>
      </c>
      <c r="E222" s="235" t="s">
        <v>108</v>
      </c>
      <c r="F222" s="235" t="s">
        <v>4</v>
      </c>
      <c r="G222" s="236" t="s">
        <v>147</v>
      </c>
      <c r="H222" s="237"/>
    </row>
    <row r="223" spans="1:8" ht="16.5" thickBot="1" x14ac:dyDescent="0.3">
      <c r="A223" s="238"/>
      <c r="B223" s="239"/>
      <c r="C223" s="240"/>
      <c r="D223" s="240"/>
      <c r="E223" s="240"/>
      <c r="F223" s="240"/>
      <c r="G223" s="241" t="s">
        <v>108</v>
      </c>
      <c r="H223" s="242" t="s">
        <v>4</v>
      </c>
    </row>
    <row r="224" spans="1:8" x14ac:dyDescent="0.25">
      <c r="A224" s="243">
        <v>44197</v>
      </c>
      <c r="B224" s="133"/>
      <c r="C224" s="133" t="s">
        <v>148</v>
      </c>
      <c r="D224" s="133"/>
      <c r="E224" s="133"/>
      <c r="F224" s="133"/>
      <c r="G224" s="132"/>
      <c r="H224" s="134">
        <f>VLOOKUP(C220,'Master Akun'!$A$4:$E$51,5,FALSE)</f>
        <v>0</v>
      </c>
    </row>
    <row r="225" spans="1:8" x14ac:dyDescent="0.25">
      <c r="A225" s="213">
        <v>44227</v>
      </c>
      <c r="B225" s="136"/>
      <c r="C225" s="136" t="s">
        <v>188</v>
      </c>
      <c r="D225" s="136"/>
      <c r="E225" s="137">
        <f ca="1">SUMIF('Jurnal Umum'!$B$7:$G$117,'Buku Besar'!C220,'Jurnal Umum'!$F$7:$F$117)</f>
        <v>0</v>
      </c>
      <c r="F225" s="136"/>
      <c r="G225" s="137"/>
      <c r="H225" s="138">
        <f ca="1">H224-E225+F225</f>
        <v>0</v>
      </c>
    </row>
    <row r="226" spans="1:8" ht="16.5" thickBot="1" x14ac:dyDescent="0.3">
      <c r="A226" s="214">
        <v>44227</v>
      </c>
      <c r="B226" s="215"/>
      <c r="C226" s="215" t="s">
        <v>187</v>
      </c>
      <c r="D226" s="215"/>
      <c r="E226" s="215"/>
      <c r="F226" s="244">
        <f ca="1">SUMIF('Jurnal Umum'!$B$7:$G$117,'Buku Besar'!C220,'Jurnal Umum'!$G$7:$G$117)</f>
        <v>0</v>
      </c>
      <c r="G226" s="244"/>
      <c r="H226" s="245">
        <f ca="1">H225-E226+F226</f>
        <v>0</v>
      </c>
    </row>
    <row r="228" spans="1:8" ht="16.5" thickBot="1" x14ac:dyDescent="0.3"/>
    <row r="229" spans="1:8" x14ac:dyDescent="0.25">
      <c r="A229" s="224" t="s">
        <v>145</v>
      </c>
      <c r="B229" s="225"/>
      <c r="C229" s="226">
        <v>39999</v>
      </c>
      <c r="D229" s="227"/>
      <c r="E229" s="227"/>
      <c r="F229" s="227"/>
      <c r="G229" s="227"/>
      <c r="H229" s="228"/>
    </row>
    <row r="230" spans="1:8" ht="16.5" thickBot="1" x14ac:dyDescent="0.3">
      <c r="A230" s="229" t="s">
        <v>146</v>
      </c>
      <c r="B230" s="230"/>
      <c r="C230" s="231" t="str">
        <f>VLOOKUP(C229,'Master Akun'!$A$4:$E$52,2,FALSE)</f>
        <v>Perkiraan Penyeimbang</v>
      </c>
      <c r="D230" s="231"/>
      <c r="E230" s="231"/>
      <c r="F230" s="231"/>
      <c r="G230" s="231"/>
      <c r="H230" s="232"/>
    </row>
    <row r="231" spans="1:8" x14ac:dyDescent="0.25">
      <c r="A231" s="233" t="s">
        <v>106</v>
      </c>
      <c r="B231" s="234" t="s">
        <v>107</v>
      </c>
      <c r="C231" s="235" t="s">
        <v>55</v>
      </c>
      <c r="D231" s="235" t="s">
        <v>2</v>
      </c>
      <c r="E231" s="235" t="s">
        <v>108</v>
      </c>
      <c r="F231" s="235" t="s">
        <v>4</v>
      </c>
      <c r="G231" s="236" t="s">
        <v>147</v>
      </c>
      <c r="H231" s="237"/>
    </row>
    <row r="232" spans="1:8" ht="16.5" thickBot="1" x14ac:dyDescent="0.3">
      <c r="A232" s="238"/>
      <c r="B232" s="239"/>
      <c r="C232" s="240"/>
      <c r="D232" s="240"/>
      <c r="E232" s="240"/>
      <c r="F232" s="240"/>
      <c r="G232" s="241" t="s">
        <v>108</v>
      </c>
      <c r="H232" s="242" t="s">
        <v>4</v>
      </c>
    </row>
    <row r="233" spans="1:8" x14ac:dyDescent="0.25">
      <c r="A233" s="243">
        <v>44197</v>
      </c>
      <c r="B233" s="133"/>
      <c r="C233" s="133" t="s">
        <v>148</v>
      </c>
      <c r="D233" s="133"/>
      <c r="E233" s="133"/>
      <c r="F233" s="133"/>
      <c r="G233" s="132"/>
      <c r="H233" s="134">
        <f>VLOOKUP(C229,'Master Akun'!$A$4:$E$51,5,FALSE)</f>
        <v>0</v>
      </c>
    </row>
    <row r="234" spans="1:8" x14ac:dyDescent="0.25">
      <c r="A234" s="213">
        <v>44227</v>
      </c>
      <c r="B234" s="136"/>
      <c r="C234" s="136" t="s">
        <v>188</v>
      </c>
      <c r="D234" s="136"/>
      <c r="E234" s="137">
        <f ca="1">SUMIF('Jurnal Umum'!$B$7:$G$117,'Buku Besar'!C229,'Jurnal Umum'!$F$7:$F$117)</f>
        <v>0</v>
      </c>
      <c r="F234" s="136"/>
      <c r="G234" s="137"/>
      <c r="H234" s="138">
        <f ca="1">H233-E234+F234</f>
        <v>0</v>
      </c>
    </row>
    <row r="235" spans="1:8" ht="16.5" thickBot="1" x14ac:dyDescent="0.3">
      <c r="A235" s="214">
        <v>44227</v>
      </c>
      <c r="B235" s="215"/>
      <c r="C235" s="215" t="s">
        <v>187</v>
      </c>
      <c r="D235" s="215"/>
      <c r="E235" s="215"/>
      <c r="F235" s="244">
        <f ca="1">SUMIF('Jurnal Umum'!$B$7:$G$117,'Buku Besar'!C229,'Jurnal Umum'!$G$7:$G$117)</f>
        <v>0</v>
      </c>
      <c r="G235" s="244"/>
      <c r="H235" s="245">
        <f ca="1">H234-E235+F235</f>
        <v>0</v>
      </c>
    </row>
    <row r="237" spans="1:8" ht="16.5" thickBot="1" x14ac:dyDescent="0.3"/>
    <row r="238" spans="1:8" x14ac:dyDescent="0.25">
      <c r="A238" s="224" t="s">
        <v>145</v>
      </c>
      <c r="B238" s="225"/>
      <c r="C238" s="226">
        <v>41000</v>
      </c>
      <c r="D238" s="227"/>
      <c r="E238" s="227"/>
      <c r="F238" s="227"/>
      <c r="G238" s="227"/>
      <c r="H238" s="228"/>
    </row>
    <row r="239" spans="1:8" ht="16.5" thickBot="1" x14ac:dyDescent="0.3">
      <c r="A239" s="229" t="s">
        <v>146</v>
      </c>
      <c r="B239" s="230"/>
      <c r="C239" s="231" t="str">
        <f>VLOOKUP(C238,'Master Akun'!$A$4:$E$52,2,FALSE)</f>
        <v xml:space="preserve">Penjualan </v>
      </c>
      <c r="D239" s="231"/>
      <c r="E239" s="231"/>
      <c r="F239" s="231"/>
      <c r="G239" s="231"/>
      <c r="H239" s="232"/>
    </row>
    <row r="240" spans="1:8" x14ac:dyDescent="0.25">
      <c r="A240" s="233" t="s">
        <v>106</v>
      </c>
      <c r="B240" s="234" t="s">
        <v>107</v>
      </c>
      <c r="C240" s="235" t="s">
        <v>55</v>
      </c>
      <c r="D240" s="235" t="s">
        <v>2</v>
      </c>
      <c r="E240" s="235" t="s">
        <v>108</v>
      </c>
      <c r="F240" s="235" t="s">
        <v>4</v>
      </c>
      <c r="G240" s="236" t="s">
        <v>147</v>
      </c>
      <c r="H240" s="237"/>
    </row>
    <row r="241" spans="1:8" ht="16.5" thickBot="1" x14ac:dyDescent="0.3">
      <c r="A241" s="238"/>
      <c r="B241" s="239"/>
      <c r="C241" s="240"/>
      <c r="D241" s="240"/>
      <c r="E241" s="240"/>
      <c r="F241" s="240"/>
      <c r="G241" s="241" t="s">
        <v>108</v>
      </c>
      <c r="H241" s="242" t="s">
        <v>4</v>
      </c>
    </row>
    <row r="242" spans="1:8" x14ac:dyDescent="0.25">
      <c r="A242" s="243">
        <v>44197</v>
      </c>
      <c r="B242" s="133"/>
      <c r="C242" s="133" t="s">
        <v>148</v>
      </c>
      <c r="D242" s="133"/>
      <c r="E242" s="133"/>
      <c r="F242" s="133"/>
      <c r="G242" s="132"/>
      <c r="H242" s="134">
        <f>VLOOKUP(C238,'Master Akun'!$A$4:$E$51,5,FALSE)</f>
        <v>0</v>
      </c>
    </row>
    <row r="243" spans="1:8" x14ac:dyDescent="0.25">
      <c r="A243" s="213">
        <v>44227</v>
      </c>
      <c r="B243" s="136"/>
      <c r="C243" s="136" t="s">
        <v>188</v>
      </c>
      <c r="D243" s="136"/>
      <c r="E243" s="137">
        <f ca="1">SUMIF('Jurnal Umum'!$B$7:$G$117,'Buku Besar'!C238,'Jurnal Umum'!$F$7:$F$117)</f>
        <v>0</v>
      </c>
      <c r="F243" s="136"/>
      <c r="G243" s="137"/>
      <c r="H243" s="138">
        <f ca="1">H242-E243+F243</f>
        <v>0</v>
      </c>
    </row>
    <row r="244" spans="1:8" ht="16.5" thickBot="1" x14ac:dyDescent="0.3">
      <c r="A244" s="214">
        <v>44227</v>
      </c>
      <c r="B244" s="215"/>
      <c r="C244" s="215" t="s">
        <v>187</v>
      </c>
      <c r="D244" s="215"/>
      <c r="E244" s="215"/>
      <c r="F244" s="244">
        <f ca="1">SUMIF('Jurnal Umum'!$B$7:$G$117,'Buku Besar'!C238,'Jurnal Umum'!$G$7:$G$117)</f>
        <v>143895000</v>
      </c>
      <c r="G244" s="244"/>
      <c r="H244" s="245">
        <f ca="1">H243-E244+F244</f>
        <v>143895000</v>
      </c>
    </row>
    <row r="246" spans="1:8" ht="16.5" thickBot="1" x14ac:dyDescent="0.3"/>
    <row r="247" spans="1:8" x14ac:dyDescent="0.25">
      <c r="A247" s="224" t="s">
        <v>145</v>
      </c>
      <c r="B247" s="225"/>
      <c r="C247" s="226">
        <v>42000</v>
      </c>
      <c r="D247" s="227"/>
      <c r="E247" s="227"/>
      <c r="F247" s="227"/>
      <c r="G247" s="227"/>
      <c r="H247" s="228"/>
    </row>
    <row r="248" spans="1:8" ht="16.5" thickBot="1" x14ac:dyDescent="0.3">
      <c r="A248" s="229" t="s">
        <v>146</v>
      </c>
      <c r="B248" s="230"/>
      <c r="C248" s="231" t="str">
        <f>VLOOKUP(C247,'Master Akun'!$A$4:$E$52,2,FALSE)</f>
        <v>Retur Penjualan</v>
      </c>
      <c r="D248" s="231"/>
      <c r="E248" s="231"/>
      <c r="F248" s="231"/>
      <c r="G248" s="231"/>
      <c r="H248" s="232"/>
    </row>
    <row r="249" spans="1:8" x14ac:dyDescent="0.25">
      <c r="A249" s="233" t="s">
        <v>106</v>
      </c>
      <c r="B249" s="234" t="s">
        <v>107</v>
      </c>
      <c r="C249" s="235" t="s">
        <v>55</v>
      </c>
      <c r="D249" s="235" t="s">
        <v>2</v>
      </c>
      <c r="E249" s="235" t="s">
        <v>108</v>
      </c>
      <c r="F249" s="235" t="s">
        <v>4</v>
      </c>
      <c r="G249" s="236" t="s">
        <v>147</v>
      </c>
      <c r="H249" s="237"/>
    </row>
    <row r="250" spans="1:8" ht="16.5" thickBot="1" x14ac:dyDescent="0.3">
      <c r="A250" s="238"/>
      <c r="B250" s="239"/>
      <c r="C250" s="240"/>
      <c r="D250" s="240"/>
      <c r="E250" s="240"/>
      <c r="F250" s="240"/>
      <c r="G250" s="241" t="s">
        <v>108</v>
      </c>
      <c r="H250" s="242" t="s">
        <v>4</v>
      </c>
    </row>
    <row r="251" spans="1:8" x14ac:dyDescent="0.25">
      <c r="A251" s="243">
        <v>44197</v>
      </c>
      <c r="B251" s="133"/>
      <c r="C251" s="133" t="s">
        <v>148</v>
      </c>
      <c r="D251" s="133"/>
      <c r="E251" s="133"/>
      <c r="F251" s="133"/>
      <c r="G251" s="132">
        <f>VLOOKUP(C247,'Master Akun'!$A$4:$E$51,4,FALSE)</f>
        <v>0</v>
      </c>
      <c r="H251" s="134"/>
    </row>
    <row r="252" spans="1:8" x14ac:dyDescent="0.25">
      <c r="A252" s="213">
        <v>44227</v>
      </c>
      <c r="B252" s="136"/>
      <c r="C252" s="136" t="s">
        <v>188</v>
      </c>
      <c r="D252" s="136"/>
      <c r="E252" s="137">
        <f ca="1">SUMIF('Jurnal Umum'!$B$7:$G$117,'Buku Besar'!C247,'Jurnal Umum'!$F$7:$F$117)</f>
        <v>2125000</v>
      </c>
      <c r="F252" s="136"/>
      <c r="G252" s="137">
        <f ca="1">G251+E252-F252</f>
        <v>2125000</v>
      </c>
      <c r="H252" s="138"/>
    </row>
    <row r="253" spans="1:8" ht="16.5" thickBot="1" x14ac:dyDescent="0.3">
      <c r="A253" s="214">
        <v>44227</v>
      </c>
      <c r="B253" s="215"/>
      <c r="C253" s="215" t="s">
        <v>187</v>
      </c>
      <c r="D253" s="215"/>
      <c r="E253" s="215"/>
      <c r="F253" s="244">
        <f ca="1">SUMIF('Jurnal Umum'!$B$7:$G$117,'Buku Besar'!C247,'Jurnal Umum'!$G$7:$G$117)</f>
        <v>0</v>
      </c>
      <c r="G253" s="244">
        <f ca="1">G252+E253-F253</f>
        <v>2125000</v>
      </c>
      <c r="H253" s="245"/>
    </row>
    <row r="255" spans="1:8" ht="16.5" thickBot="1" x14ac:dyDescent="0.3"/>
    <row r="256" spans="1:8" x14ac:dyDescent="0.25">
      <c r="A256" s="224" t="s">
        <v>145</v>
      </c>
      <c r="B256" s="225"/>
      <c r="C256" s="226">
        <v>43000</v>
      </c>
      <c r="D256" s="227"/>
      <c r="E256" s="227"/>
      <c r="F256" s="227"/>
      <c r="G256" s="227"/>
      <c r="H256" s="228"/>
    </row>
    <row r="257" spans="1:8" ht="16.5" thickBot="1" x14ac:dyDescent="0.3">
      <c r="A257" s="229" t="s">
        <v>146</v>
      </c>
      <c r="B257" s="230"/>
      <c r="C257" s="231" t="str">
        <f>VLOOKUP(C256,'Master Akun'!$A$4:$E$52,2,FALSE)</f>
        <v>Potongan Penjualan</v>
      </c>
      <c r="D257" s="231"/>
      <c r="E257" s="231"/>
      <c r="F257" s="231"/>
      <c r="G257" s="231"/>
      <c r="H257" s="232"/>
    </row>
    <row r="258" spans="1:8" x14ac:dyDescent="0.25">
      <c r="A258" s="233" t="s">
        <v>106</v>
      </c>
      <c r="B258" s="234" t="s">
        <v>107</v>
      </c>
      <c r="C258" s="235" t="s">
        <v>55</v>
      </c>
      <c r="D258" s="235" t="s">
        <v>2</v>
      </c>
      <c r="E258" s="235" t="s">
        <v>108</v>
      </c>
      <c r="F258" s="235" t="s">
        <v>4</v>
      </c>
      <c r="G258" s="236" t="s">
        <v>147</v>
      </c>
      <c r="H258" s="237"/>
    </row>
    <row r="259" spans="1:8" ht="16.5" thickBot="1" x14ac:dyDescent="0.3">
      <c r="A259" s="238"/>
      <c r="B259" s="239"/>
      <c r="C259" s="240"/>
      <c r="D259" s="240"/>
      <c r="E259" s="240"/>
      <c r="F259" s="240"/>
      <c r="G259" s="241" t="s">
        <v>108</v>
      </c>
      <c r="H259" s="242" t="s">
        <v>4</v>
      </c>
    </row>
    <row r="260" spans="1:8" x14ac:dyDescent="0.25">
      <c r="A260" s="243">
        <v>44197</v>
      </c>
      <c r="B260" s="133"/>
      <c r="C260" s="133" t="s">
        <v>148</v>
      </c>
      <c r="D260" s="133"/>
      <c r="E260" s="133"/>
      <c r="F260" s="133"/>
      <c r="G260" s="132">
        <f>VLOOKUP(C256,'Master Akun'!$A$4:$E$51,4,FALSE)</f>
        <v>0</v>
      </c>
      <c r="H260" s="134"/>
    </row>
    <row r="261" spans="1:8" x14ac:dyDescent="0.25">
      <c r="A261" s="213">
        <v>44227</v>
      </c>
      <c r="B261" s="136"/>
      <c r="C261" s="136" t="s">
        <v>188</v>
      </c>
      <c r="D261" s="136"/>
      <c r="E261" s="137">
        <f ca="1">SUMIF('Jurnal Umum'!$B$7:$G$117,'Buku Besar'!C256,'Jurnal Umum'!$F$7:$F$117)</f>
        <v>3022500</v>
      </c>
      <c r="F261" s="136"/>
      <c r="G261" s="137">
        <f ca="1">G260+E261-F261</f>
        <v>3022500</v>
      </c>
      <c r="H261" s="138"/>
    </row>
    <row r="262" spans="1:8" ht="16.5" thickBot="1" x14ac:dyDescent="0.3">
      <c r="A262" s="214">
        <v>44227</v>
      </c>
      <c r="B262" s="215"/>
      <c r="C262" s="215" t="s">
        <v>187</v>
      </c>
      <c r="D262" s="215"/>
      <c r="E262" s="215"/>
      <c r="F262" s="244">
        <f ca="1">SUMIF('Jurnal Umum'!$B$7:$G$117,'Buku Besar'!C256,'Jurnal Umum'!$G$7:$G$117)</f>
        <v>0</v>
      </c>
      <c r="G262" s="244">
        <f ca="1">G261+E262-F262</f>
        <v>3022500</v>
      </c>
      <c r="H262" s="245"/>
    </row>
    <row r="264" spans="1:8" ht="16.5" thickBot="1" x14ac:dyDescent="0.3"/>
    <row r="265" spans="1:8" x14ac:dyDescent="0.25">
      <c r="A265" s="224" t="s">
        <v>145</v>
      </c>
      <c r="B265" s="225"/>
      <c r="C265" s="226">
        <v>51000</v>
      </c>
      <c r="D265" s="227"/>
      <c r="E265" s="227"/>
      <c r="F265" s="227"/>
      <c r="G265" s="227"/>
      <c r="H265" s="228"/>
    </row>
    <row r="266" spans="1:8" ht="16.5" thickBot="1" x14ac:dyDescent="0.3">
      <c r="A266" s="229" t="s">
        <v>146</v>
      </c>
      <c r="B266" s="230"/>
      <c r="C266" s="231" t="str">
        <f>VLOOKUP(C265,'Master Akun'!$A$4:$E$52,2,FALSE)</f>
        <v>Harga Pokok Penjualan</v>
      </c>
      <c r="D266" s="231"/>
      <c r="E266" s="231"/>
      <c r="F266" s="231"/>
      <c r="G266" s="231"/>
      <c r="H266" s="232"/>
    </row>
    <row r="267" spans="1:8" x14ac:dyDescent="0.25">
      <c r="A267" s="233" t="s">
        <v>106</v>
      </c>
      <c r="B267" s="234" t="s">
        <v>107</v>
      </c>
      <c r="C267" s="235" t="s">
        <v>55</v>
      </c>
      <c r="D267" s="235" t="s">
        <v>2</v>
      </c>
      <c r="E267" s="235" t="s">
        <v>108</v>
      </c>
      <c r="F267" s="235" t="s">
        <v>4</v>
      </c>
      <c r="G267" s="236" t="s">
        <v>147</v>
      </c>
      <c r="H267" s="237"/>
    </row>
    <row r="268" spans="1:8" ht="16.5" thickBot="1" x14ac:dyDescent="0.3">
      <c r="A268" s="238"/>
      <c r="B268" s="239"/>
      <c r="C268" s="240"/>
      <c r="D268" s="240"/>
      <c r="E268" s="240"/>
      <c r="F268" s="240"/>
      <c r="G268" s="241" t="s">
        <v>108</v>
      </c>
      <c r="H268" s="242" t="s">
        <v>4</v>
      </c>
    </row>
    <row r="269" spans="1:8" x14ac:dyDescent="0.25">
      <c r="A269" s="243">
        <v>44197</v>
      </c>
      <c r="B269" s="133"/>
      <c r="C269" s="133" t="s">
        <v>148</v>
      </c>
      <c r="D269" s="133"/>
      <c r="E269" s="133"/>
      <c r="F269" s="133"/>
      <c r="G269" s="132">
        <f>VLOOKUP(C265,'Master Akun'!$A$4:$E$51,4,FALSE)</f>
        <v>0</v>
      </c>
      <c r="H269" s="134"/>
    </row>
    <row r="270" spans="1:8" x14ac:dyDescent="0.25">
      <c r="A270" s="213">
        <v>44227</v>
      </c>
      <c r="B270" s="136"/>
      <c r="C270" s="136" t="s">
        <v>188</v>
      </c>
      <c r="D270" s="136"/>
      <c r="E270" s="137">
        <f ca="1">SUMIF('Jurnal Umum'!$B$7:$G$117,'Buku Besar'!C265,'Jurnal Umum'!$F$7:$F$117)</f>
        <v>118065000</v>
      </c>
      <c r="F270" s="136"/>
      <c r="G270" s="137">
        <f ca="1">G269+E270-F270</f>
        <v>118065000</v>
      </c>
      <c r="H270" s="138"/>
    </row>
    <row r="271" spans="1:8" ht="16.5" thickBot="1" x14ac:dyDescent="0.3">
      <c r="A271" s="214">
        <v>44227</v>
      </c>
      <c r="B271" s="215"/>
      <c r="C271" s="215" t="s">
        <v>187</v>
      </c>
      <c r="D271" s="215"/>
      <c r="E271" s="215"/>
      <c r="F271" s="244">
        <f ca="1">SUMIF('Jurnal Umum'!$B$7:$G$117,'Buku Besar'!C265,'Jurnal Umum'!$G$7:$G$117)</f>
        <v>1725000</v>
      </c>
      <c r="G271" s="244">
        <f ca="1">G270+E271-F271</f>
        <v>116340000</v>
      </c>
      <c r="H271" s="245"/>
    </row>
  </sheetData>
  <mergeCells count="414">
    <mergeCell ref="K139:L139"/>
    <mergeCell ref="K140:L140"/>
    <mergeCell ref="K141:K142"/>
    <mergeCell ref="L141:L142"/>
    <mergeCell ref="M141:M142"/>
    <mergeCell ref="N141:N142"/>
    <mergeCell ref="O141:O142"/>
    <mergeCell ref="P141:P142"/>
    <mergeCell ref="Q141:R141"/>
    <mergeCell ref="K130:L130"/>
    <mergeCell ref="K131:L131"/>
    <mergeCell ref="K132:K133"/>
    <mergeCell ref="L132:L133"/>
    <mergeCell ref="M132:M133"/>
    <mergeCell ref="N132:N133"/>
    <mergeCell ref="O132:O133"/>
    <mergeCell ref="P132:P133"/>
    <mergeCell ref="Q132:R132"/>
    <mergeCell ref="K121:L121"/>
    <mergeCell ref="K122:L122"/>
    <mergeCell ref="K123:K124"/>
    <mergeCell ref="L123:L124"/>
    <mergeCell ref="M123:M124"/>
    <mergeCell ref="N123:N124"/>
    <mergeCell ref="O123:O124"/>
    <mergeCell ref="P123:P124"/>
    <mergeCell ref="Q123:R123"/>
    <mergeCell ref="K113:L113"/>
    <mergeCell ref="K114:K115"/>
    <mergeCell ref="L114:L115"/>
    <mergeCell ref="M114:M115"/>
    <mergeCell ref="N114:N115"/>
    <mergeCell ref="Q96:R96"/>
    <mergeCell ref="K103:L103"/>
    <mergeCell ref="K104:L104"/>
    <mergeCell ref="K105:K106"/>
    <mergeCell ref="L105:L106"/>
    <mergeCell ref="M105:M106"/>
    <mergeCell ref="N105:N106"/>
    <mergeCell ref="O105:O106"/>
    <mergeCell ref="P105:P106"/>
    <mergeCell ref="Q105:R105"/>
    <mergeCell ref="O114:O115"/>
    <mergeCell ref="P114:P115"/>
    <mergeCell ref="Q114:R114"/>
    <mergeCell ref="K94:L94"/>
    <mergeCell ref="K95:L95"/>
    <mergeCell ref="K96:K97"/>
    <mergeCell ref="L96:L97"/>
    <mergeCell ref="M96:M97"/>
    <mergeCell ref="N96:N97"/>
    <mergeCell ref="O96:O97"/>
    <mergeCell ref="P96:P97"/>
    <mergeCell ref="K112:L112"/>
    <mergeCell ref="K85:L85"/>
    <mergeCell ref="K86:L86"/>
    <mergeCell ref="K87:K88"/>
    <mergeCell ref="L87:L88"/>
    <mergeCell ref="M87:M88"/>
    <mergeCell ref="N87:N88"/>
    <mergeCell ref="O87:O88"/>
    <mergeCell ref="P87:P88"/>
    <mergeCell ref="Q87:R87"/>
    <mergeCell ref="K77:L77"/>
    <mergeCell ref="K78:K79"/>
    <mergeCell ref="L78:L79"/>
    <mergeCell ref="M78:M79"/>
    <mergeCell ref="N78:N79"/>
    <mergeCell ref="Q60:R60"/>
    <mergeCell ref="K67:L67"/>
    <mergeCell ref="K68:L68"/>
    <mergeCell ref="K69:K70"/>
    <mergeCell ref="L69:L70"/>
    <mergeCell ref="M69:M70"/>
    <mergeCell ref="N69:N70"/>
    <mergeCell ref="O69:O70"/>
    <mergeCell ref="P69:P70"/>
    <mergeCell ref="Q69:R69"/>
    <mergeCell ref="O78:O79"/>
    <mergeCell ref="P78:P79"/>
    <mergeCell ref="Q78:R78"/>
    <mergeCell ref="K58:L58"/>
    <mergeCell ref="K59:L59"/>
    <mergeCell ref="K60:K61"/>
    <mergeCell ref="L60:L61"/>
    <mergeCell ref="M60:M61"/>
    <mergeCell ref="N60:N61"/>
    <mergeCell ref="O60:O61"/>
    <mergeCell ref="P60:P61"/>
    <mergeCell ref="K76:L76"/>
    <mergeCell ref="K49:L49"/>
    <mergeCell ref="K50:L50"/>
    <mergeCell ref="K51:K52"/>
    <mergeCell ref="L51:L52"/>
    <mergeCell ref="M51:M52"/>
    <mergeCell ref="N51:N52"/>
    <mergeCell ref="O51:O52"/>
    <mergeCell ref="P51:P52"/>
    <mergeCell ref="Q51:R51"/>
    <mergeCell ref="K42:K43"/>
    <mergeCell ref="L42:L43"/>
    <mergeCell ref="M42:M43"/>
    <mergeCell ref="N42:N43"/>
    <mergeCell ref="Q24:R24"/>
    <mergeCell ref="K31:L31"/>
    <mergeCell ref="K32:L32"/>
    <mergeCell ref="K33:K34"/>
    <mergeCell ref="L33:L34"/>
    <mergeCell ref="M33:M34"/>
    <mergeCell ref="N33:N34"/>
    <mergeCell ref="O33:O34"/>
    <mergeCell ref="P33:P34"/>
    <mergeCell ref="Q33:R33"/>
    <mergeCell ref="K24:K25"/>
    <mergeCell ref="L24:L25"/>
    <mergeCell ref="M24:M25"/>
    <mergeCell ref="N24:N25"/>
    <mergeCell ref="O24:O25"/>
    <mergeCell ref="P24:P25"/>
    <mergeCell ref="O42:O43"/>
    <mergeCell ref="P42:P43"/>
    <mergeCell ref="Q42:R42"/>
    <mergeCell ref="M15:M16"/>
    <mergeCell ref="N15:N16"/>
    <mergeCell ref="O15:O16"/>
    <mergeCell ref="P15:P16"/>
    <mergeCell ref="Q15:R15"/>
    <mergeCell ref="K22:L22"/>
    <mergeCell ref="M6:M7"/>
    <mergeCell ref="N6:N7"/>
    <mergeCell ref="O6:O7"/>
    <mergeCell ref="P6:P7"/>
    <mergeCell ref="Q6:R6"/>
    <mergeCell ref="K13:L13"/>
    <mergeCell ref="K4:L4"/>
    <mergeCell ref="K5:L5"/>
    <mergeCell ref="K6:K7"/>
    <mergeCell ref="L6:L7"/>
    <mergeCell ref="K14:L14"/>
    <mergeCell ref="K15:K16"/>
    <mergeCell ref="L15:L16"/>
    <mergeCell ref="K23:L23"/>
    <mergeCell ref="F231:F232"/>
    <mergeCell ref="G231:H231"/>
    <mergeCell ref="G222:H222"/>
    <mergeCell ref="F195:F196"/>
    <mergeCell ref="G195:H195"/>
    <mergeCell ref="G186:H186"/>
    <mergeCell ref="F159:F160"/>
    <mergeCell ref="G159:H159"/>
    <mergeCell ref="G150:H150"/>
    <mergeCell ref="F123:F124"/>
    <mergeCell ref="G123:H123"/>
    <mergeCell ref="G114:H114"/>
    <mergeCell ref="F87:F88"/>
    <mergeCell ref="G87:H87"/>
    <mergeCell ref="K40:L40"/>
    <mergeCell ref="K41:L41"/>
    <mergeCell ref="A265:B265"/>
    <mergeCell ref="A266:B266"/>
    <mergeCell ref="A267:A268"/>
    <mergeCell ref="B267:B268"/>
    <mergeCell ref="C267:C268"/>
    <mergeCell ref="D267:D268"/>
    <mergeCell ref="E267:E268"/>
    <mergeCell ref="F267:F268"/>
    <mergeCell ref="G267:H267"/>
    <mergeCell ref="A256:B256"/>
    <mergeCell ref="A257:B257"/>
    <mergeCell ref="A258:A259"/>
    <mergeCell ref="B258:B259"/>
    <mergeCell ref="C258:C259"/>
    <mergeCell ref="D258:D259"/>
    <mergeCell ref="G240:H240"/>
    <mergeCell ref="A247:B247"/>
    <mergeCell ref="A248:B248"/>
    <mergeCell ref="A249:A250"/>
    <mergeCell ref="B249:B250"/>
    <mergeCell ref="C249:C250"/>
    <mergeCell ref="D249:D250"/>
    <mergeCell ref="E249:E250"/>
    <mergeCell ref="F249:F250"/>
    <mergeCell ref="G249:H249"/>
    <mergeCell ref="E258:E259"/>
    <mergeCell ref="F258:F259"/>
    <mergeCell ref="G258:H258"/>
    <mergeCell ref="A238:B238"/>
    <mergeCell ref="A239:B239"/>
    <mergeCell ref="A240:A241"/>
    <mergeCell ref="B240:B241"/>
    <mergeCell ref="C240:C241"/>
    <mergeCell ref="D240:D241"/>
    <mergeCell ref="E240:E241"/>
    <mergeCell ref="F240:F241"/>
    <mergeCell ref="E222:E223"/>
    <mergeCell ref="F222:F223"/>
    <mergeCell ref="A229:B229"/>
    <mergeCell ref="A230:B230"/>
    <mergeCell ref="A231:A232"/>
    <mergeCell ref="B231:B232"/>
    <mergeCell ref="C231:C232"/>
    <mergeCell ref="D231:D232"/>
    <mergeCell ref="E231:E232"/>
    <mergeCell ref="A220:B220"/>
    <mergeCell ref="A221:B221"/>
    <mergeCell ref="A222:A223"/>
    <mergeCell ref="B222:B223"/>
    <mergeCell ref="C222:C223"/>
    <mergeCell ref="D222:D223"/>
    <mergeCell ref="G204:H204"/>
    <mergeCell ref="A211:B211"/>
    <mergeCell ref="A212:B212"/>
    <mergeCell ref="A213:A214"/>
    <mergeCell ref="B213:B214"/>
    <mergeCell ref="C213:C214"/>
    <mergeCell ref="D213:D214"/>
    <mergeCell ref="E213:E214"/>
    <mergeCell ref="F213:F214"/>
    <mergeCell ref="G213:H213"/>
    <mergeCell ref="A202:B202"/>
    <mergeCell ref="A203:B203"/>
    <mergeCell ref="A204:A205"/>
    <mergeCell ref="B204:B205"/>
    <mergeCell ref="C204:C205"/>
    <mergeCell ref="D204:D205"/>
    <mergeCell ref="E204:E205"/>
    <mergeCell ref="F204:F205"/>
    <mergeCell ref="E186:E187"/>
    <mergeCell ref="F186:F187"/>
    <mergeCell ref="A193:B193"/>
    <mergeCell ref="A194:B194"/>
    <mergeCell ref="A195:A196"/>
    <mergeCell ref="B195:B196"/>
    <mergeCell ref="C195:C196"/>
    <mergeCell ref="D195:D196"/>
    <mergeCell ref="E195:E196"/>
    <mergeCell ref="A184:B184"/>
    <mergeCell ref="A185:B185"/>
    <mergeCell ref="A186:A187"/>
    <mergeCell ref="B186:B187"/>
    <mergeCell ref="C186:C187"/>
    <mergeCell ref="D186:D187"/>
    <mergeCell ref="G168:H168"/>
    <mergeCell ref="A175:B175"/>
    <mergeCell ref="A176:B176"/>
    <mergeCell ref="A177:A178"/>
    <mergeCell ref="B177:B178"/>
    <mergeCell ref="C177:C178"/>
    <mergeCell ref="D177:D178"/>
    <mergeCell ref="E177:E178"/>
    <mergeCell ref="F177:F178"/>
    <mergeCell ref="G177:H177"/>
    <mergeCell ref="A166:B166"/>
    <mergeCell ref="A167:B167"/>
    <mergeCell ref="A168:A169"/>
    <mergeCell ref="B168:B169"/>
    <mergeCell ref="C168:C169"/>
    <mergeCell ref="D168:D169"/>
    <mergeCell ref="E168:E169"/>
    <mergeCell ref="F168:F169"/>
    <mergeCell ref="E150:E151"/>
    <mergeCell ref="F150:F151"/>
    <mergeCell ref="A157:B157"/>
    <mergeCell ref="A158:B158"/>
    <mergeCell ref="A159:A160"/>
    <mergeCell ref="B159:B160"/>
    <mergeCell ref="C159:C160"/>
    <mergeCell ref="D159:D160"/>
    <mergeCell ref="E159:E160"/>
    <mergeCell ref="A148:B148"/>
    <mergeCell ref="A149:B149"/>
    <mergeCell ref="A150:A151"/>
    <mergeCell ref="B150:B151"/>
    <mergeCell ref="C150:C151"/>
    <mergeCell ref="D150:D151"/>
    <mergeCell ref="G132:H132"/>
    <mergeCell ref="A139:B139"/>
    <mergeCell ref="A140:B140"/>
    <mergeCell ref="A141:A142"/>
    <mergeCell ref="B141:B142"/>
    <mergeCell ref="C141:C142"/>
    <mergeCell ref="D141:D142"/>
    <mergeCell ref="E141:E142"/>
    <mergeCell ref="F141:F142"/>
    <mergeCell ref="G141:H141"/>
    <mergeCell ref="A130:B130"/>
    <mergeCell ref="A131:B131"/>
    <mergeCell ref="A132:A133"/>
    <mergeCell ref="B132:B133"/>
    <mergeCell ref="C132:C133"/>
    <mergeCell ref="D132:D133"/>
    <mergeCell ref="E132:E133"/>
    <mergeCell ref="F132:F133"/>
    <mergeCell ref="E114:E115"/>
    <mergeCell ref="F114:F115"/>
    <mergeCell ref="A121:B121"/>
    <mergeCell ref="A122:B122"/>
    <mergeCell ref="A123:A124"/>
    <mergeCell ref="B123:B124"/>
    <mergeCell ref="C123:C124"/>
    <mergeCell ref="D123:D124"/>
    <mergeCell ref="E123:E124"/>
    <mergeCell ref="A112:B112"/>
    <mergeCell ref="A113:B113"/>
    <mergeCell ref="A114:A115"/>
    <mergeCell ref="B114:B115"/>
    <mergeCell ref="C114:C115"/>
    <mergeCell ref="D114:D115"/>
    <mergeCell ref="G96:H96"/>
    <mergeCell ref="A103:B103"/>
    <mergeCell ref="A104:B104"/>
    <mergeCell ref="A105:A106"/>
    <mergeCell ref="B105:B106"/>
    <mergeCell ref="C105:C106"/>
    <mergeCell ref="D105:D106"/>
    <mergeCell ref="E105:E106"/>
    <mergeCell ref="F105:F106"/>
    <mergeCell ref="G105:H105"/>
    <mergeCell ref="A94:B94"/>
    <mergeCell ref="A95:B95"/>
    <mergeCell ref="A96:A97"/>
    <mergeCell ref="B96:B97"/>
    <mergeCell ref="C96:C97"/>
    <mergeCell ref="D96:D97"/>
    <mergeCell ref="E96:E97"/>
    <mergeCell ref="F96:F97"/>
    <mergeCell ref="E78:E79"/>
    <mergeCell ref="F78:F79"/>
    <mergeCell ref="G78:H78"/>
    <mergeCell ref="A85:B85"/>
    <mergeCell ref="A86:B86"/>
    <mergeCell ref="A87:A88"/>
    <mergeCell ref="B87:B88"/>
    <mergeCell ref="C87:C88"/>
    <mergeCell ref="D87:D88"/>
    <mergeCell ref="E87:E88"/>
    <mergeCell ref="A76:B76"/>
    <mergeCell ref="A77:B77"/>
    <mergeCell ref="A78:A79"/>
    <mergeCell ref="B78:B79"/>
    <mergeCell ref="C78:C79"/>
    <mergeCell ref="D78:D79"/>
    <mergeCell ref="A67:B67"/>
    <mergeCell ref="A68:B68"/>
    <mergeCell ref="A69:A70"/>
    <mergeCell ref="B69:B70"/>
    <mergeCell ref="C69:C70"/>
    <mergeCell ref="D69:D70"/>
    <mergeCell ref="E69:E70"/>
    <mergeCell ref="F69:F70"/>
    <mergeCell ref="G69:H69"/>
    <mergeCell ref="A58:B58"/>
    <mergeCell ref="A59:B59"/>
    <mergeCell ref="A60:A61"/>
    <mergeCell ref="B60:B61"/>
    <mergeCell ref="C60:C61"/>
    <mergeCell ref="D60:D61"/>
    <mergeCell ref="E60:E61"/>
    <mergeCell ref="F60:F61"/>
    <mergeCell ref="G60:H60"/>
    <mergeCell ref="A49:B49"/>
    <mergeCell ref="A50:B50"/>
    <mergeCell ref="A51:A52"/>
    <mergeCell ref="B51:B52"/>
    <mergeCell ref="C51:C52"/>
    <mergeCell ref="D51:D52"/>
    <mergeCell ref="E51:E52"/>
    <mergeCell ref="F51:F52"/>
    <mergeCell ref="G51:H51"/>
    <mergeCell ref="A41:B41"/>
    <mergeCell ref="A42:A43"/>
    <mergeCell ref="B42:B43"/>
    <mergeCell ref="C42:C43"/>
    <mergeCell ref="D42:D43"/>
    <mergeCell ref="G24:H24"/>
    <mergeCell ref="A31:B31"/>
    <mergeCell ref="A32:B32"/>
    <mergeCell ref="A33:A34"/>
    <mergeCell ref="B33:B34"/>
    <mergeCell ref="C33:C34"/>
    <mergeCell ref="D33:D34"/>
    <mergeCell ref="E33:E34"/>
    <mergeCell ref="F33:F34"/>
    <mergeCell ref="G33:H33"/>
    <mergeCell ref="E42:E43"/>
    <mergeCell ref="F42:F43"/>
    <mergeCell ref="G42:H42"/>
    <mergeCell ref="A22:B22"/>
    <mergeCell ref="A23:B23"/>
    <mergeCell ref="A24:A25"/>
    <mergeCell ref="B24:B25"/>
    <mergeCell ref="C24:C25"/>
    <mergeCell ref="D24:D25"/>
    <mergeCell ref="E24:E25"/>
    <mergeCell ref="F24:F25"/>
    <mergeCell ref="A40:B40"/>
    <mergeCell ref="A13:B13"/>
    <mergeCell ref="A14:B14"/>
    <mergeCell ref="A15:A16"/>
    <mergeCell ref="B15:B16"/>
    <mergeCell ref="C15:C16"/>
    <mergeCell ref="D15:D16"/>
    <mergeCell ref="E15:E16"/>
    <mergeCell ref="F15:F16"/>
    <mergeCell ref="G15:H15"/>
    <mergeCell ref="A4:B4"/>
    <mergeCell ref="A5:B5"/>
    <mergeCell ref="A6:A7"/>
    <mergeCell ref="B6:B7"/>
    <mergeCell ref="C6:C7"/>
    <mergeCell ref="D6:D7"/>
    <mergeCell ref="E6:E7"/>
    <mergeCell ref="F6:F7"/>
    <mergeCell ref="G6:H6"/>
  </mergeCells>
  <pageMargins left="0.7" right="0.7" top="0.75" bottom="0.75" header="0.3" footer="0.3"/>
  <pageSetup orientation="portrait" horizontalDpi="300" verticalDpi="30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4AAAC5A-502B-4A99-AEDD-6C1AA96E7034}">
  <dimension ref="A1:H36"/>
  <sheetViews>
    <sheetView showGridLines="0" topLeftCell="A30" workbookViewId="0">
      <selection activeCell="A41" sqref="B41"/>
    </sheetView>
  </sheetViews>
  <sheetFormatPr defaultRowHeight="15.75" x14ac:dyDescent="0.25"/>
  <cols>
    <col min="1" max="1" width="9.28515625" style="40" bestFit="1" customWidth="1"/>
    <col min="2" max="4" width="9.140625" style="40"/>
    <col min="5" max="7" width="10.140625" style="40" bestFit="1" customWidth="1"/>
    <col min="8" max="16384" width="9.140625" style="40"/>
  </cols>
  <sheetData>
    <row r="1" spans="1:8" x14ac:dyDescent="0.25">
      <c r="A1" s="181" t="s">
        <v>191</v>
      </c>
      <c r="B1" s="181"/>
      <c r="C1" s="181"/>
      <c r="D1" s="181"/>
      <c r="E1" s="181"/>
      <c r="F1" s="181"/>
      <c r="G1" s="181"/>
      <c r="H1" s="181"/>
    </row>
    <row r="2" spans="1:8" x14ac:dyDescent="0.25">
      <c r="A2" s="181" t="s">
        <v>190</v>
      </c>
      <c r="B2" s="181"/>
      <c r="C2" s="181"/>
      <c r="D2" s="181"/>
      <c r="E2" s="181"/>
      <c r="F2" s="181"/>
      <c r="G2" s="181"/>
      <c r="H2" s="181"/>
    </row>
    <row r="3" spans="1:8" ht="16.5" thickBot="1" x14ac:dyDescent="0.3"/>
    <row r="4" spans="1:8" x14ac:dyDescent="0.25">
      <c r="A4" s="198" t="s">
        <v>189</v>
      </c>
      <c r="B4" s="199"/>
      <c r="C4" s="199" t="s">
        <v>56</v>
      </c>
      <c r="D4" s="199"/>
      <c r="E4" s="199"/>
      <c r="F4" s="199"/>
      <c r="G4" s="199"/>
      <c r="H4" s="200"/>
    </row>
    <row r="5" spans="1:8" ht="16.5" thickBot="1" x14ac:dyDescent="0.3">
      <c r="A5" s="201" t="s">
        <v>53</v>
      </c>
      <c r="C5" s="40" t="str">
        <f>VLOOKUP(C4,'Master Akun'!$G$3:$J$9,2,FALSE)</f>
        <v>Pt. Gunung Agung</v>
      </c>
      <c r="H5" s="202"/>
    </row>
    <row r="6" spans="1:8" x14ac:dyDescent="0.25">
      <c r="A6" s="203" t="s">
        <v>106</v>
      </c>
      <c r="B6" s="204" t="s">
        <v>107</v>
      </c>
      <c r="C6" s="205" t="s">
        <v>55</v>
      </c>
      <c r="D6" s="205" t="s">
        <v>2</v>
      </c>
      <c r="E6" s="205" t="s">
        <v>108</v>
      </c>
      <c r="F6" s="205" t="s">
        <v>4</v>
      </c>
      <c r="G6" s="205" t="s">
        <v>147</v>
      </c>
      <c r="H6" s="206"/>
    </row>
    <row r="7" spans="1:8" ht="16.5" thickBot="1" x14ac:dyDescent="0.3">
      <c r="A7" s="207"/>
      <c r="B7" s="208"/>
      <c r="C7" s="209"/>
      <c r="D7" s="209"/>
      <c r="E7" s="209"/>
      <c r="F7" s="209"/>
      <c r="G7" s="210" t="s">
        <v>108</v>
      </c>
      <c r="H7" s="211" t="s">
        <v>4</v>
      </c>
    </row>
    <row r="8" spans="1:8" x14ac:dyDescent="0.25">
      <c r="A8" s="212"/>
      <c r="B8" s="132"/>
      <c r="C8" s="132" t="s">
        <v>148</v>
      </c>
      <c r="D8" s="132"/>
      <c r="E8" s="132"/>
      <c r="F8" s="132"/>
      <c r="G8" s="132">
        <f>VLOOKUP(C4,'Master Akun'!G3:$J$10,3,FALSE)</f>
        <v>10000000</v>
      </c>
      <c r="H8" s="140"/>
    </row>
    <row r="9" spans="1:8" x14ac:dyDescent="0.25">
      <c r="A9" s="213">
        <v>44205</v>
      </c>
      <c r="B9" s="136" t="s">
        <v>120</v>
      </c>
      <c r="C9" s="136" t="s">
        <v>193</v>
      </c>
      <c r="D9" s="136"/>
      <c r="E9" s="136"/>
      <c r="F9" s="136">
        <f ca="1">SUMIF('Jurnal Umum'!E34:G36,'BB Piutang'!C4,'Jurnal Umum'!G34:G36)</f>
        <v>10000000</v>
      </c>
      <c r="G9" s="136">
        <f ca="1">G8-F9</f>
        <v>0</v>
      </c>
      <c r="H9" s="142"/>
    </row>
    <row r="10" spans="1:8" ht="16.5" thickBot="1" x14ac:dyDescent="0.3">
      <c r="A10" s="214">
        <v>44219</v>
      </c>
      <c r="B10" s="215" t="s">
        <v>127</v>
      </c>
      <c r="C10" s="215" t="s">
        <v>194</v>
      </c>
      <c r="D10" s="215"/>
      <c r="E10" s="215">
        <f ca="1">SUMIF('Jurnal Umum'!E60:G67,'BB Piutang'!C4,'Jurnal Umum'!F60:F67)</f>
        <v>30535000</v>
      </c>
      <c r="F10" s="215"/>
      <c r="G10" s="215">
        <f ca="1">G9+E10</f>
        <v>30535000</v>
      </c>
      <c r="H10" s="216"/>
    </row>
    <row r="12" spans="1:8" ht="16.5" thickBot="1" x14ac:dyDescent="0.3"/>
    <row r="13" spans="1:8" x14ac:dyDescent="0.25">
      <c r="A13" s="198" t="s">
        <v>189</v>
      </c>
      <c r="B13" s="199"/>
      <c r="C13" s="199" t="s">
        <v>57</v>
      </c>
      <c r="D13" s="199"/>
      <c r="E13" s="199"/>
      <c r="F13" s="199"/>
      <c r="G13" s="199"/>
      <c r="H13" s="200"/>
    </row>
    <row r="14" spans="1:8" ht="16.5" thickBot="1" x14ac:dyDescent="0.3">
      <c r="A14" s="201" t="s">
        <v>53</v>
      </c>
      <c r="C14" s="40" t="str">
        <f>VLOOKUP(C13,'Master Akun'!$G$3:$J$9,2,FALSE)</f>
        <v>Toko Buku Utama</v>
      </c>
      <c r="H14" s="202"/>
    </row>
    <row r="15" spans="1:8" x14ac:dyDescent="0.25">
      <c r="A15" s="203" t="s">
        <v>106</v>
      </c>
      <c r="B15" s="204" t="s">
        <v>107</v>
      </c>
      <c r="C15" s="205" t="s">
        <v>55</v>
      </c>
      <c r="D15" s="205" t="s">
        <v>2</v>
      </c>
      <c r="E15" s="205" t="s">
        <v>108</v>
      </c>
      <c r="F15" s="205" t="s">
        <v>4</v>
      </c>
      <c r="G15" s="205" t="s">
        <v>147</v>
      </c>
      <c r="H15" s="206"/>
    </row>
    <row r="16" spans="1:8" ht="16.5" thickBot="1" x14ac:dyDescent="0.3">
      <c r="A16" s="207"/>
      <c r="B16" s="208"/>
      <c r="C16" s="209"/>
      <c r="D16" s="209"/>
      <c r="E16" s="209"/>
      <c r="F16" s="209"/>
      <c r="G16" s="210" t="s">
        <v>108</v>
      </c>
      <c r="H16" s="211" t="s">
        <v>4</v>
      </c>
    </row>
    <row r="17" spans="1:8" x14ac:dyDescent="0.25">
      <c r="A17" s="212"/>
      <c r="B17" s="132"/>
      <c r="C17" s="132" t="s">
        <v>148</v>
      </c>
      <c r="D17" s="132"/>
      <c r="E17" s="132"/>
      <c r="F17" s="132"/>
      <c r="G17" s="132">
        <f>VLOOKUP(C13,'Master Akun'!$G$3:$J$10,3,FALSE)</f>
        <v>15000000</v>
      </c>
      <c r="H17" s="140"/>
    </row>
    <row r="18" spans="1:8" x14ac:dyDescent="0.25">
      <c r="A18" s="213">
        <v>44205</v>
      </c>
      <c r="B18" s="136" t="s">
        <v>119</v>
      </c>
      <c r="C18" s="136" t="s">
        <v>193</v>
      </c>
      <c r="D18" s="136"/>
      <c r="E18" s="136"/>
      <c r="F18" s="136">
        <f ca="1">SUMIF('Jurnal Umum'!E31:G33,'BB Piutang'!C13,'Jurnal Umum'!G31:G33)</f>
        <v>15000000</v>
      </c>
      <c r="G18" s="136">
        <f ca="1">G17-F18</f>
        <v>0</v>
      </c>
      <c r="H18" s="142"/>
    </row>
    <row r="19" spans="1:8" x14ac:dyDescent="0.25">
      <c r="A19" s="213">
        <v>44218</v>
      </c>
      <c r="B19" s="136" t="s">
        <v>126</v>
      </c>
      <c r="C19" s="136" t="s">
        <v>194</v>
      </c>
      <c r="D19" s="136"/>
      <c r="E19" s="136">
        <f ca="1">SUMIF('Jurnal Umum'!E53:G59,'BB Piutang'!C13,'Jurnal Umum'!F53:F59)</f>
        <v>29425000</v>
      </c>
      <c r="F19" s="136"/>
      <c r="G19" s="136">
        <f ca="1">G18+E19-F19</f>
        <v>29425000</v>
      </c>
      <c r="H19" s="142"/>
    </row>
    <row r="20" spans="1:8" ht="16.5" thickBot="1" x14ac:dyDescent="0.3">
      <c r="A20" s="214">
        <v>44220</v>
      </c>
      <c r="B20" s="215" t="s">
        <v>128</v>
      </c>
      <c r="C20" s="215" t="s">
        <v>32</v>
      </c>
      <c r="D20" s="215"/>
      <c r="E20" s="215"/>
      <c r="F20" s="215">
        <f ca="1">SUMIF('Jurnal Umum'!E68:G72,'BB Piutang'!C13,'Jurnal Umum'!G68:G72)</f>
        <v>1925000</v>
      </c>
      <c r="G20" s="215">
        <f ca="1">G19+E20-F20</f>
        <v>27500000</v>
      </c>
      <c r="H20" s="216"/>
    </row>
    <row r="22" spans="1:8" ht="16.5" thickBot="1" x14ac:dyDescent="0.3"/>
    <row r="23" spans="1:8" x14ac:dyDescent="0.25">
      <c r="A23" s="198" t="s">
        <v>189</v>
      </c>
      <c r="B23" s="199"/>
      <c r="C23" s="199" t="s">
        <v>58</v>
      </c>
      <c r="D23" s="199"/>
      <c r="E23" s="199"/>
      <c r="F23" s="199"/>
      <c r="G23" s="199"/>
      <c r="H23" s="200"/>
    </row>
    <row r="24" spans="1:8" ht="16.5" thickBot="1" x14ac:dyDescent="0.3">
      <c r="A24" s="201" t="s">
        <v>53</v>
      </c>
      <c r="B24" s="218"/>
      <c r="C24" s="218" t="str">
        <f>VLOOKUP(C23,'Master Akun'!$G$3:$J$9,2,FALSE)</f>
        <v>Cv Mebel Abadi</v>
      </c>
      <c r="D24" s="218"/>
      <c r="E24" s="218"/>
      <c r="F24" s="218"/>
      <c r="G24" s="218"/>
      <c r="H24" s="202"/>
    </row>
    <row r="25" spans="1:8" x14ac:dyDescent="0.25">
      <c r="A25" s="203" t="s">
        <v>106</v>
      </c>
      <c r="B25" s="204" t="s">
        <v>107</v>
      </c>
      <c r="C25" s="205" t="s">
        <v>55</v>
      </c>
      <c r="D25" s="205" t="s">
        <v>2</v>
      </c>
      <c r="E25" s="205" t="s">
        <v>108</v>
      </c>
      <c r="F25" s="205" t="s">
        <v>4</v>
      </c>
      <c r="G25" s="205" t="s">
        <v>147</v>
      </c>
      <c r="H25" s="206"/>
    </row>
    <row r="26" spans="1:8" ht="16.5" thickBot="1" x14ac:dyDescent="0.3">
      <c r="A26" s="207"/>
      <c r="B26" s="208"/>
      <c r="C26" s="209"/>
      <c r="D26" s="209"/>
      <c r="E26" s="209"/>
      <c r="F26" s="209"/>
      <c r="G26" s="210" t="s">
        <v>108</v>
      </c>
      <c r="H26" s="211" t="s">
        <v>4</v>
      </c>
    </row>
    <row r="27" spans="1:8" x14ac:dyDescent="0.25">
      <c r="A27" s="221"/>
      <c r="B27" s="222"/>
      <c r="C27" s="222" t="s">
        <v>148</v>
      </c>
      <c r="D27" s="222"/>
      <c r="E27" s="222"/>
      <c r="F27" s="222"/>
      <c r="G27" s="222">
        <f>VLOOKUP(C23,'Master Akun'!$G$3:$J$10,3,FALSE)</f>
        <v>7500000</v>
      </c>
      <c r="H27" s="223"/>
    </row>
    <row r="28" spans="1:8" ht="16.5" thickBot="1" x14ac:dyDescent="0.3">
      <c r="A28" s="214">
        <v>44209</v>
      </c>
      <c r="B28" s="215" t="s">
        <v>123</v>
      </c>
      <c r="C28" s="215" t="s">
        <v>193</v>
      </c>
      <c r="D28" s="215"/>
      <c r="E28" s="215"/>
      <c r="F28" s="215">
        <f ca="1">SUMIF('Jurnal Umum'!E46:G47,'BB Piutang'!C23,'Jurnal Umum'!G46:G47)</f>
        <v>7500000</v>
      </c>
      <c r="G28" s="215">
        <f ca="1">G27-F28</f>
        <v>0</v>
      </c>
      <c r="H28" s="216"/>
    </row>
    <row r="30" spans="1:8" ht="16.5" thickBot="1" x14ac:dyDescent="0.3"/>
    <row r="31" spans="1:8" x14ac:dyDescent="0.25">
      <c r="A31" s="198" t="s">
        <v>189</v>
      </c>
      <c r="B31" s="199"/>
      <c r="C31" s="199" t="s">
        <v>59</v>
      </c>
      <c r="D31" s="199"/>
      <c r="E31" s="199"/>
      <c r="F31" s="199"/>
      <c r="G31" s="199"/>
      <c r="H31" s="200"/>
    </row>
    <row r="32" spans="1:8" ht="16.5" thickBot="1" x14ac:dyDescent="0.3">
      <c r="A32" s="201" t="s">
        <v>53</v>
      </c>
      <c r="B32" s="218"/>
      <c r="C32" s="218" t="str">
        <f>VLOOKUP(C31,'Master Akun'!$G$3:$J$9,2,FALSE)</f>
        <v>Cv Sembilan Sembilan</v>
      </c>
      <c r="D32" s="218"/>
      <c r="E32" s="218"/>
      <c r="F32" s="218"/>
      <c r="G32" s="218"/>
      <c r="H32" s="202"/>
    </row>
    <row r="33" spans="1:8" x14ac:dyDescent="0.25">
      <c r="A33" s="203" t="s">
        <v>106</v>
      </c>
      <c r="B33" s="204" t="s">
        <v>107</v>
      </c>
      <c r="C33" s="205" t="s">
        <v>55</v>
      </c>
      <c r="D33" s="205" t="s">
        <v>2</v>
      </c>
      <c r="E33" s="205" t="s">
        <v>108</v>
      </c>
      <c r="F33" s="205" t="s">
        <v>4</v>
      </c>
      <c r="G33" s="205" t="s">
        <v>147</v>
      </c>
      <c r="H33" s="206"/>
    </row>
    <row r="34" spans="1:8" ht="16.5" thickBot="1" x14ac:dyDescent="0.3">
      <c r="A34" s="207"/>
      <c r="B34" s="208"/>
      <c r="C34" s="209"/>
      <c r="D34" s="209"/>
      <c r="E34" s="209"/>
      <c r="F34" s="209"/>
      <c r="G34" s="210" t="s">
        <v>108</v>
      </c>
      <c r="H34" s="211" t="s">
        <v>4</v>
      </c>
    </row>
    <row r="35" spans="1:8" x14ac:dyDescent="0.25">
      <c r="A35" s="212"/>
      <c r="B35" s="132"/>
      <c r="C35" s="132" t="s">
        <v>148</v>
      </c>
      <c r="D35" s="132"/>
      <c r="E35" s="132"/>
      <c r="F35" s="132"/>
      <c r="G35" s="132">
        <f>VLOOKUP(C31,'Master Akun'!$G$3:$J$10,3,FALSE)</f>
        <v>15000000</v>
      </c>
      <c r="H35" s="140"/>
    </row>
    <row r="36" spans="1:8" ht="16.5" thickBot="1" x14ac:dyDescent="0.3">
      <c r="A36" s="214">
        <v>44199</v>
      </c>
      <c r="B36" s="215" t="s">
        <v>169</v>
      </c>
      <c r="C36" s="215" t="s">
        <v>193</v>
      </c>
      <c r="D36" s="215"/>
      <c r="E36" s="215"/>
      <c r="F36" s="215">
        <f ca="1">SUMIF('Jurnal Umum'!E18:G20,'BB Piutang'!C31,'Jurnal Umum'!G18:G20)</f>
        <v>15000000</v>
      </c>
      <c r="G36" s="215">
        <f ca="1">G35-F36</f>
        <v>0</v>
      </c>
      <c r="H36" s="216"/>
    </row>
  </sheetData>
  <mergeCells count="30">
    <mergeCell ref="G6:H6"/>
    <mergeCell ref="A1:H1"/>
    <mergeCell ref="A2:H2"/>
    <mergeCell ref="A15:A16"/>
    <mergeCell ref="B15:B16"/>
    <mergeCell ref="C15:C16"/>
    <mergeCell ref="D15:D16"/>
    <mergeCell ref="E15:E16"/>
    <mergeCell ref="F15:F16"/>
    <mergeCell ref="G15:H15"/>
    <mergeCell ref="A6:A7"/>
    <mergeCell ref="B6:B7"/>
    <mergeCell ref="C6:C7"/>
    <mergeCell ref="D6:D7"/>
    <mergeCell ref="E6:E7"/>
    <mergeCell ref="F6:F7"/>
    <mergeCell ref="G25:H25"/>
    <mergeCell ref="A33:A34"/>
    <mergeCell ref="B33:B34"/>
    <mergeCell ref="C33:C34"/>
    <mergeCell ref="D33:D34"/>
    <mergeCell ref="E33:E34"/>
    <mergeCell ref="F33:F34"/>
    <mergeCell ref="G33:H33"/>
    <mergeCell ref="A25:A26"/>
    <mergeCell ref="B25:B26"/>
    <mergeCell ref="C25:C26"/>
    <mergeCell ref="D25:D26"/>
    <mergeCell ref="E25:E26"/>
    <mergeCell ref="F25:F26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014D596-7C8D-4A50-AB6B-64D7226BB364}">
  <dimension ref="A1:H26"/>
  <sheetViews>
    <sheetView showGridLines="0" topLeftCell="A13" workbookViewId="0">
      <selection activeCell="A41" sqref="B41"/>
    </sheetView>
  </sheetViews>
  <sheetFormatPr defaultRowHeight="15.75" x14ac:dyDescent="0.25"/>
  <cols>
    <col min="1" max="1" width="9.28515625" style="40" bestFit="1" customWidth="1"/>
    <col min="2" max="4" width="9.140625" style="40"/>
    <col min="5" max="6" width="10.140625" style="40" bestFit="1" customWidth="1"/>
    <col min="7" max="7" width="9.140625" style="40"/>
    <col min="8" max="8" width="10.140625" style="40" bestFit="1" customWidth="1"/>
    <col min="9" max="16384" width="9.140625" style="40"/>
  </cols>
  <sheetData>
    <row r="1" spans="1:8" x14ac:dyDescent="0.25">
      <c r="A1" s="181" t="s">
        <v>191</v>
      </c>
      <c r="B1" s="181"/>
      <c r="C1" s="181"/>
      <c r="D1" s="181"/>
      <c r="E1" s="181"/>
      <c r="F1" s="181"/>
      <c r="G1" s="181"/>
      <c r="H1" s="181"/>
    </row>
    <row r="2" spans="1:8" x14ac:dyDescent="0.25">
      <c r="A2" s="181" t="s">
        <v>199</v>
      </c>
      <c r="B2" s="181"/>
      <c r="C2" s="181"/>
      <c r="D2" s="181"/>
      <c r="E2" s="181"/>
      <c r="F2" s="181"/>
      <c r="G2" s="181"/>
      <c r="H2" s="181"/>
    </row>
    <row r="3" spans="1:8" ht="16.5" thickBot="1" x14ac:dyDescent="0.3"/>
    <row r="4" spans="1:8" x14ac:dyDescent="0.25">
      <c r="A4" s="198" t="s">
        <v>195</v>
      </c>
      <c r="B4" s="199"/>
      <c r="C4" s="199" t="s">
        <v>70</v>
      </c>
      <c r="D4" s="199"/>
      <c r="E4" s="199"/>
      <c r="F4" s="199"/>
      <c r="G4" s="199"/>
      <c r="H4" s="200"/>
    </row>
    <row r="5" spans="1:8" ht="16.5" thickBot="1" x14ac:dyDescent="0.3">
      <c r="A5" s="201" t="s">
        <v>196</v>
      </c>
      <c r="C5" s="40" t="str">
        <f>VLOOKUP('BB Hutang'!C4,'Master Akun'!$G$12:$J$17,2,FALSE)</f>
        <v>Cv. Usaha Maju</v>
      </c>
      <c r="H5" s="202"/>
    </row>
    <row r="6" spans="1:8" x14ac:dyDescent="0.25">
      <c r="A6" s="203" t="s">
        <v>106</v>
      </c>
      <c r="B6" s="204" t="s">
        <v>107</v>
      </c>
      <c r="C6" s="205" t="s">
        <v>55</v>
      </c>
      <c r="D6" s="205" t="s">
        <v>2</v>
      </c>
      <c r="E6" s="205" t="s">
        <v>108</v>
      </c>
      <c r="F6" s="205" t="s">
        <v>4</v>
      </c>
      <c r="G6" s="205" t="s">
        <v>147</v>
      </c>
      <c r="H6" s="206"/>
    </row>
    <row r="7" spans="1:8" ht="16.5" thickBot="1" x14ac:dyDescent="0.3">
      <c r="A7" s="207"/>
      <c r="B7" s="208"/>
      <c r="C7" s="209"/>
      <c r="D7" s="209"/>
      <c r="E7" s="209"/>
      <c r="F7" s="209"/>
      <c r="G7" s="210" t="s">
        <v>108</v>
      </c>
      <c r="H7" s="211" t="s">
        <v>4</v>
      </c>
    </row>
    <row r="8" spans="1:8" x14ac:dyDescent="0.25">
      <c r="A8" s="212"/>
      <c r="B8" s="132"/>
      <c r="C8" s="132" t="s">
        <v>148</v>
      </c>
      <c r="D8" s="132"/>
      <c r="E8" s="132"/>
      <c r="F8" s="132"/>
      <c r="G8" s="132"/>
      <c r="H8" s="140">
        <f>VLOOKUP(C4,'Master Akun'!$G$12:$J$17,3,FALSE)</f>
        <v>24000000</v>
      </c>
    </row>
    <row r="9" spans="1:8" x14ac:dyDescent="0.25">
      <c r="A9" s="213">
        <v>44198</v>
      </c>
      <c r="B9" s="136" t="s">
        <v>115</v>
      </c>
      <c r="C9" s="136" t="s">
        <v>197</v>
      </c>
      <c r="D9" s="136"/>
      <c r="E9" s="136">
        <f ca="1">SUMIF('Jurnal Umum'!E9:G10,'BB Hutang'!C4,'Jurnal Umum'!F9:F10)</f>
        <v>24000000</v>
      </c>
      <c r="F9" s="136"/>
      <c r="G9" s="136"/>
      <c r="H9" s="142">
        <f ca="1">H8+F9-E9</f>
        <v>0</v>
      </c>
    </row>
    <row r="10" spans="1:8" x14ac:dyDescent="0.25">
      <c r="A10" s="213">
        <v>44200</v>
      </c>
      <c r="B10" s="136" t="s">
        <v>117</v>
      </c>
      <c r="C10" s="136" t="s">
        <v>198</v>
      </c>
      <c r="D10" s="136"/>
      <c r="E10" s="136"/>
      <c r="F10" s="136">
        <f ca="1">SUMIF('Jurnal Umum'!E21:G25,'BB Hutang'!C4,'Jurnal Umum'!G21:G25)</f>
        <v>17925000</v>
      </c>
      <c r="G10" s="136"/>
      <c r="H10" s="142">
        <f ca="1">H9+F10-E10</f>
        <v>17925000</v>
      </c>
    </row>
    <row r="11" spans="1:8" ht="16.5" thickBot="1" x14ac:dyDescent="0.3">
      <c r="A11" s="214">
        <v>44202</v>
      </c>
      <c r="B11" s="215" t="s">
        <v>170</v>
      </c>
      <c r="C11" s="215" t="s">
        <v>178</v>
      </c>
      <c r="D11" s="215"/>
      <c r="E11" s="215">
        <f ca="1">SUMIF('Jurnal Umum'!E26:G28,'BB Hutang'!C4,'Jurnal Umum'!F26:F28)</f>
        <v>357500</v>
      </c>
      <c r="F11" s="215"/>
      <c r="G11" s="215"/>
      <c r="H11" s="216">
        <f ca="1">H10+F11-E11</f>
        <v>17567500</v>
      </c>
    </row>
    <row r="12" spans="1:8" x14ac:dyDescent="0.25">
      <c r="A12" s="217"/>
      <c r="B12" s="218"/>
      <c r="C12" s="218"/>
      <c r="D12" s="218"/>
      <c r="E12" s="218"/>
      <c r="F12" s="218"/>
      <c r="G12" s="218"/>
      <c r="H12" s="218"/>
    </row>
    <row r="13" spans="1:8" ht="16.5" thickBot="1" x14ac:dyDescent="0.3">
      <c r="A13" s="217"/>
      <c r="B13" s="218"/>
      <c r="C13" s="218"/>
      <c r="D13" s="218"/>
      <c r="E13" s="218"/>
      <c r="F13" s="218"/>
      <c r="G13" s="218"/>
      <c r="H13" s="218"/>
    </row>
    <row r="14" spans="1:8" x14ac:dyDescent="0.25">
      <c r="A14" s="198" t="s">
        <v>195</v>
      </c>
      <c r="B14" s="199"/>
      <c r="C14" s="199" t="s">
        <v>71</v>
      </c>
      <c r="D14" s="199"/>
      <c r="E14" s="199"/>
      <c r="F14" s="199"/>
      <c r="G14" s="199"/>
      <c r="H14" s="200"/>
    </row>
    <row r="15" spans="1:8" ht="16.5" thickBot="1" x14ac:dyDescent="0.3">
      <c r="A15" s="201" t="s">
        <v>196</v>
      </c>
      <c r="B15" s="218"/>
      <c r="C15" s="218" t="str">
        <f>VLOOKUP('BB Hutang'!C14,'Master Akun'!$G$12:$J$17,2,FALSE)</f>
        <v>Pt. Karya Bersama</v>
      </c>
      <c r="D15" s="218"/>
      <c r="E15" s="218"/>
      <c r="F15" s="218"/>
      <c r="G15" s="218"/>
      <c r="H15" s="202"/>
    </row>
    <row r="16" spans="1:8" x14ac:dyDescent="0.25">
      <c r="A16" s="203" t="s">
        <v>106</v>
      </c>
      <c r="B16" s="204" t="s">
        <v>107</v>
      </c>
      <c r="C16" s="205" t="s">
        <v>55</v>
      </c>
      <c r="D16" s="205" t="s">
        <v>2</v>
      </c>
      <c r="E16" s="205" t="s">
        <v>108</v>
      </c>
      <c r="F16" s="205" t="s">
        <v>4</v>
      </c>
      <c r="G16" s="205" t="s">
        <v>147</v>
      </c>
      <c r="H16" s="206"/>
    </row>
    <row r="17" spans="1:8" ht="16.5" thickBot="1" x14ac:dyDescent="0.3">
      <c r="A17" s="207"/>
      <c r="B17" s="208"/>
      <c r="C17" s="209"/>
      <c r="D17" s="209"/>
      <c r="E17" s="209"/>
      <c r="F17" s="209"/>
      <c r="G17" s="210" t="s">
        <v>108</v>
      </c>
      <c r="H17" s="211" t="s">
        <v>4</v>
      </c>
    </row>
    <row r="18" spans="1:8" ht="16.5" thickBot="1" x14ac:dyDescent="0.3">
      <c r="A18" s="219"/>
      <c r="B18" s="177"/>
      <c r="C18" s="177" t="s">
        <v>148</v>
      </c>
      <c r="D18" s="177"/>
      <c r="E18" s="177"/>
      <c r="F18" s="177"/>
      <c r="G18" s="177"/>
      <c r="H18" s="220">
        <f>VLOOKUP(C14,'Master Akun'!$G$12:$J$17,3,FALSE)</f>
        <v>16000000</v>
      </c>
    </row>
    <row r="20" spans="1:8" ht="16.5" thickBot="1" x14ac:dyDescent="0.3"/>
    <row r="21" spans="1:8" x14ac:dyDescent="0.25">
      <c r="A21" s="198" t="s">
        <v>195</v>
      </c>
      <c r="B21" s="199"/>
      <c r="C21" s="199" t="s">
        <v>72</v>
      </c>
      <c r="D21" s="199"/>
      <c r="E21" s="199"/>
      <c r="F21" s="199"/>
      <c r="G21" s="199"/>
      <c r="H21" s="200"/>
    </row>
    <row r="22" spans="1:8" ht="16.5" thickBot="1" x14ac:dyDescent="0.3">
      <c r="A22" s="201" t="s">
        <v>196</v>
      </c>
      <c r="C22" s="40" t="str">
        <f>VLOOKUP('BB Hutang'!C21,'Master Akun'!$G$12:$J$17,2,FALSE)</f>
        <v>Ud. Bersaudara</v>
      </c>
      <c r="H22" s="202"/>
    </row>
    <row r="23" spans="1:8" x14ac:dyDescent="0.25">
      <c r="A23" s="203" t="s">
        <v>106</v>
      </c>
      <c r="B23" s="204" t="s">
        <v>107</v>
      </c>
      <c r="C23" s="205" t="s">
        <v>55</v>
      </c>
      <c r="D23" s="205" t="s">
        <v>2</v>
      </c>
      <c r="E23" s="205" t="s">
        <v>108</v>
      </c>
      <c r="F23" s="205" t="s">
        <v>4</v>
      </c>
      <c r="G23" s="205" t="s">
        <v>147</v>
      </c>
      <c r="H23" s="206"/>
    </row>
    <row r="24" spans="1:8" ht="16.5" thickBot="1" x14ac:dyDescent="0.3">
      <c r="A24" s="207"/>
      <c r="B24" s="208"/>
      <c r="C24" s="209"/>
      <c r="D24" s="209"/>
      <c r="E24" s="209"/>
      <c r="F24" s="209"/>
      <c r="G24" s="210" t="s">
        <v>108</v>
      </c>
      <c r="H24" s="211" t="s">
        <v>4</v>
      </c>
    </row>
    <row r="25" spans="1:8" x14ac:dyDescent="0.25">
      <c r="A25" s="212"/>
      <c r="B25" s="132"/>
      <c r="C25" s="132" t="s">
        <v>148</v>
      </c>
      <c r="D25" s="132"/>
      <c r="E25" s="132"/>
      <c r="F25" s="132"/>
      <c r="G25" s="132"/>
      <c r="H25" s="140">
        <f>VLOOKUP(C21,'Master Akun'!$G$12:$J$17,3,FALSE)</f>
        <v>35000000</v>
      </c>
    </row>
    <row r="26" spans="1:8" ht="16.5" thickBot="1" x14ac:dyDescent="0.3">
      <c r="A26" s="214">
        <v>44224</v>
      </c>
      <c r="B26" s="215" t="s">
        <v>132</v>
      </c>
      <c r="C26" s="215" t="s">
        <v>193</v>
      </c>
      <c r="D26" s="215"/>
      <c r="E26" s="215">
        <f ca="1">SUMIF('Jurnal Umum'!E83:G85,'BB Hutang'!C21,'Jurnal Umum'!F83:F85)</f>
        <v>22000000</v>
      </c>
      <c r="F26" s="215"/>
      <c r="G26" s="215"/>
      <c r="H26" s="216">
        <f ca="1">H25-E26</f>
        <v>13000000</v>
      </c>
    </row>
  </sheetData>
  <mergeCells count="23">
    <mergeCell ref="G6:H6"/>
    <mergeCell ref="A1:H1"/>
    <mergeCell ref="A2:H2"/>
    <mergeCell ref="A16:A17"/>
    <mergeCell ref="B16:B17"/>
    <mergeCell ref="C16:C17"/>
    <mergeCell ref="D16:D17"/>
    <mergeCell ref="E16:E17"/>
    <mergeCell ref="F16:F17"/>
    <mergeCell ref="G16:H16"/>
    <mergeCell ref="A6:A7"/>
    <mergeCell ref="B6:B7"/>
    <mergeCell ref="C6:C7"/>
    <mergeCell ref="D6:D7"/>
    <mergeCell ref="E6:E7"/>
    <mergeCell ref="F6:F7"/>
    <mergeCell ref="G23:H23"/>
    <mergeCell ref="A23:A24"/>
    <mergeCell ref="B23:B24"/>
    <mergeCell ref="C23:C24"/>
    <mergeCell ref="D23:D24"/>
    <mergeCell ref="E23:E24"/>
    <mergeCell ref="F23:F24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6611DEA-99D8-4585-8A00-99B78D27E753}">
  <dimension ref="A1:E54"/>
  <sheetViews>
    <sheetView showGridLines="0" topLeftCell="A42" workbookViewId="0">
      <selection activeCell="A41" sqref="B41"/>
    </sheetView>
  </sheetViews>
  <sheetFormatPr defaultRowHeight="15.75" x14ac:dyDescent="0.25"/>
  <cols>
    <col min="1" max="1" width="9.28515625" style="40" bestFit="1" customWidth="1"/>
    <col min="2" max="2" width="37.140625" style="40" bestFit="1" customWidth="1"/>
    <col min="3" max="3" width="9.140625" style="40"/>
    <col min="4" max="5" width="15.28515625" style="40" bestFit="1" customWidth="1"/>
    <col min="6" max="16384" width="9.140625" style="40"/>
  </cols>
  <sheetData>
    <row r="1" spans="1:5" x14ac:dyDescent="0.25">
      <c r="A1" s="181" t="s">
        <v>191</v>
      </c>
      <c r="B1" s="181"/>
      <c r="C1" s="181"/>
      <c r="D1" s="181"/>
      <c r="E1" s="181"/>
    </row>
    <row r="2" spans="1:5" x14ac:dyDescent="0.25">
      <c r="A2" s="181" t="s">
        <v>200</v>
      </c>
      <c r="B2" s="181"/>
      <c r="C2" s="181"/>
      <c r="D2" s="181"/>
      <c r="E2" s="181"/>
    </row>
    <row r="3" spans="1:5" x14ac:dyDescent="0.25">
      <c r="A3" s="181" t="s">
        <v>207</v>
      </c>
      <c r="B3" s="92"/>
      <c r="C3" s="92"/>
      <c r="D3" s="92"/>
      <c r="E3" s="92"/>
    </row>
    <row r="4" spans="1:5" ht="16.5" thickBot="1" x14ac:dyDescent="0.3"/>
    <row r="5" spans="1:5" ht="16.5" thickBot="1" x14ac:dyDescent="0.3">
      <c r="A5" s="183" t="s">
        <v>201</v>
      </c>
      <c r="B5" s="184" t="s">
        <v>202</v>
      </c>
      <c r="C5" s="184" t="s">
        <v>203</v>
      </c>
      <c r="D5" s="184" t="s">
        <v>204</v>
      </c>
      <c r="E5" s="148" t="s">
        <v>205</v>
      </c>
    </row>
    <row r="6" spans="1:5" x14ac:dyDescent="0.25">
      <c r="A6" s="185">
        <v>11101</v>
      </c>
      <c r="B6" s="186" t="str">
        <f>VLOOKUP(A6,'Master Akun'!$A$3:$E$52,2,FALSE)</f>
        <v>Kas Ditangan</v>
      </c>
      <c r="C6" s="186"/>
      <c r="D6" s="187">
        <f ca="1">'Buku Besar'!G10</f>
        <v>62773250</v>
      </c>
      <c r="E6" s="188"/>
    </row>
    <row r="7" spans="1:5" x14ac:dyDescent="0.25">
      <c r="A7" s="189">
        <v>11102</v>
      </c>
      <c r="B7" s="53" t="str">
        <f>VLOOKUP(A7,'Master Akun'!$A$3:$E$52,2,FALSE)</f>
        <v>Kas Kecil</v>
      </c>
      <c r="C7" s="53"/>
      <c r="D7" s="190">
        <f ca="1">'Buku Besar'!G19</f>
        <v>750000</v>
      </c>
      <c r="E7" s="191"/>
    </row>
    <row r="8" spans="1:5" x14ac:dyDescent="0.25">
      <c r="A8" s="189">
        <v>11201</v>
      </c>
      <c r="B8" s="53" t="str">
        <f>VLOOKUP(A8,'Master Akun'!$A$3:$E$52,2,FALSE)</f>
        <v>Bank BCA</v>
      </c>
      <c r="C8" s="53"/>
      <c r="D8" s="190">
        <f ca="1">'Buku Besar'!G28</f>
        <v>21875000</v>
      </c>
      <c r="E8" s="191"/>
    </row>
    <row r="9" spans="1:5" x14ac:dyDescent="0.25">
      <c r="A9" s="189">
        <v>11202</v>
      </c>
      <c r="B9" s="53" t="str">
        <f>VLOOKUP(A9,'Master Akun'!$A$3:$E$52,2,FALSE)</f>
        <v>Bank Mandiri</v>
      </c>
      <c r="C9" s="53"/>
      <c r="D9" s="190">
        <f ca="1">'Buku Besar'!G37</f>
        <v>53521500</v>
      </c>
      <c r="E9" s="191"/>
    </row>
    <row r="10" spans="1:5" x14ac:dyDescent="0.25">
      <c r="A10" s="189">
        <v>11301</v>
      </c>
      <c r="B10" s="53" t="str">
        <f>VLOOKUP(A10,'Master Akun'!$A$3:$E$52,2,FALSE)</f>
        <v>Piutang Usaha</v>
      </c>
      <c r="C10" s="53"/>
      <c r="D10" s="190">
        <f ca="1">'Buku Besar'!G46</f>
        <v>58035000</v>
      </c>
      <c r="E10" s="191"/>
    </row>
    <row r="11" spans="1:5" x14ac:dyDescent="0.25">
      <c r="A11" s="189">
        <v>11302</v>
      </c>
      <c r="B11" s="53" t="str">
        <f>VLOOKUP(A11,'Master Akun'!$A$3:$E$52,2,FALSE)</f>
        <v>Cadangan Piutang Tak Tertagih</v>
      </c>
      <c r="C11" s="53"/>
      <c r="D11" s="190" t="s">
        <v>208</v>
      </c>
      <c r="E11" s="191">
        <f ca="1">'Buku Besar'!H55</f>
        <v>2901750</v>
      </c>
    </row>
    <row r="12" spans="1:5" x14ac:dyDescent="0.25">
      <c r="A12" s="189">
        <v>11401</v>
      </c>
      <c r="B12" s="53" t="str">
        <f>VLOOKUP(A12,'Master Akun'!$A$3:$E$52,2,FALSE)</f>
        <v>Piutang Karyawan</v>
      </c>
      <c r="C12" s="53"/>
      <c r="D12" s="190">
        <f ca="1">'Buku Besar'!G64</f>
        <v>2000000</v>
      </c>
      <c r="E12" s="191"/>
    </row>
    <row r="13" spans="1:5" x14ac:dyDescent="0.25">
      <c r="A13" s="189">
        <v>11500</v>
      </c>
      <c r="B13" s="53" t="str">
        <f>VLOOKUP(A13,'Master Akun'!$A$3:$E$52,2,FALSE)</f>
        <v>Persediaan Barang Dagang</v>
      </c>
      <c r="C13" s="53"/>
      <c r="D13" s="190">
        <f ca="1">'Buku Besar'!G73</f>
        <v>71465000</v>
      </c>
      <c r="E13" s="191"/>
    </row>
    <row r="14" spans="1:5" x14ac:dyDescent="0.25">
      <c r="A14" s="189">
        <v>11600</v>
      </c>
      <c r="B14" s="53" t="str">
        <f>VLOOKUP(A14,'Master Akun'!$A$3:$E$52,2,FALSE)</f>
        <v>Pembayaran Dimuka</v>
      </c>
      <c r="C14" s="53"/>
      <c r="D14" s="190"/>
      <c r="E14" s="191"/>
    </row>
    <row r="15" spans="1:5" x14ac:dyDescent="0.25">
      <c r="A15" s="189">
        <v>11601</v>
      </c>
      <c r="B15" s="53" t="str">
        <f>VLOOKUP(A15,'Master Akun'!$A$3:$E$52,2,FALSE)</f>
        <v>PPN Masukan</v>
      </c>
      <c r="C15" s="53"/>
      <c r="D15" s="190">
        <f ca="1">'Buku Besar'!G82</f>
        <v>2392500</v>
      </c>
      <c r="E15" s="191"/>
    </row>
    <row r="16" spans="1:5" x14ac:dyDescent="0.25">
      <c r="A16" s="189">
        <v>11602</v>
      </c>
      <c r="B16" s="53" t="str">
        <f>VLOOKUP(A16,'Master Akun'!$A$3:$E$52,2,FALSE)</f>
        <v>Uang Muka Pembelian</v>
      </c>
      <c r="C16" s="53"/>
      <c r="D16" s="190"/>
      <c r="E16" s="191">
        <f ca="1">'Buku Besar'!G91</f>
        <v>0</v>
      </c>
    </row>
    <row r="17" spans="1:5" x14ac:dyDescent="0.25">
      <c r="A17" s="189">
        <v>12101</v>
      </c>
      <c r="B17" s="53" t="str">
        <f>VLOOKUP(A17,'Master Akun'!$A$3:$E$52,2,FALSE)</f>
        <v>Peralatan Kantor</v>
      </c>
      <c r="C17" s="53"/>
      <c r="D17" s="190">
        <f ca="1">'Buku Besar'!G100</f>
        <v>25000000</v>
      </c>
      <c r="E17" s="191"/>
    </row>
    <row r="18" spans="1:5" x14ac:dyDescent="0.25">
      <c r="A18" s="189">
        <v>12102</v>
      </c>
      <c r="B18" s="53" t="str">
        <f>VLOOKUP(A18,'Master Akun'!$A$3:$E$52,2,FALSE)</f>
        <v>Akm Peny Peralatan Kantor</v>
      </c>
      <c r="C18" s="53"/>
      <c r="D18" s="190"/>
      <c r="E18" s="191">
        <f ca="1">'Buku Besar'!H109</f>
        <v>7900000</v>
      </c>
    </row>
    <row r="19" spans="1:5" x14ac:dyDescent="0.25">
      <c r="A19" s="189">
        <v>12201</v>
      </c>
      <c r="B19" s="53" t="str">
        <f>VLOOKUP(A19,'Master Akun'!$A$3:$E$52,2,FALSE)</f>
        <v>Kendaraan</v>
      </c>
      <c r="C19" s="53"/>
      <c r="D19" s="190">
        <f ca="1">'Buku Besar'!G118</f>
        <v>50500000</v>
      </c>
      <c r="E19" s="191"/>
    </row>
    <row r="20" spans="1:5" x14ac:dyDescent="0.25">
      <c r="A20" s="189">
        <v>12202</v>
      </c>
      <c r="B20" s="53" t="str">
        <f>VLOOKUP(A20,'Master Akun'!$A$3:$E$52,2,FALSE)</f>
        <v>Akm Peny Kendaraan</v>
      </c>
      <c r="C20" s="53"/>
      <c r="D20" s="190"/>
      <c r="E20" s="191">
        <f ca="1">'Buku Besar'!H127</f>
        <v>24000000</v>
      </c>
    </row>
    <row r="21" spans="1:5" x14ac:dyDescent="0.25">
      <c r="A21" s="189">
        <v>21100</v>
      </c>
      <c r="B21" s="53" t="str">
        <f>VLOOKUP(A21,'Master Akun'!$A$3:$E$52,2,FALSE)</f>
        <v>Hutang Usaha</v>
      </c>
      <c r="C21" s="53"/>
      <c r="D21" s="190"/>
      <c r="E21" s="191">
        <f ca="1">'Buku Besar'!H136</f>
        <v>46567500</v>
      </c>
    </row>
    <row r="22" spans="1:5" x14ac:dyDescent="0.25">
      <c r="A22" s="189">
        <v>21200</v>
      </c>
      <c r="B22" s="53" t="str">
        <f>VLOOKUP(A22,'Master Akun'!$A$3:$E$52,2,FALSE)</f>
        <v>Pendapatan Diterima Dimuka-Jasa Kirim</v>
      </c>
      <c r="C22" s="53"/>
      <c r="D22" s="190"/>
      <c r="E22" s="191">
        <f ca="1">'Buku Besar'!H145</f>
        <v>200000</v>
      </c>
    </row>
    <row r="23" spans="1:5" x14ac:dyDescent="0.25">
      <c r="A23" s="189">
        <v>21300</v>
      </c>
      <c r="B23" s="53" t="str">
        <f>VLOOKUP(A23,'Master Akun'!$A$3:$E$52,2,FALSE)</f>
        <v>Hutang Bunga</v>
      </c>
      <c r="C23" s="53"/>
      <c r="D23" s="190"/>
      <c r="E23" s="191">
        <f ca="1">'Buku Besar'!H154</f>
        <v>1500000</v>
      </c>
    </row>
    <row r="24" spans="1:5" x14ac:dyDescent="0.25">
      <c r="A24" s="189">
        <v>21400</v>
      </c>
      <c r="B24" s="53" t="str">
        <f>VLOOKUP(A24,'Master Akun'!$A$3:$E$52,2,FALSE)</f>
        <v>Hutang Pajak</v>
      </c>
      <c r="C24" s="53"/>
      <c r="D24" s="190"/>
      <c r="E24" s="191"/>
    </row>
    <row r="25" spans="1:5" x14ac:dyDescent="0.25">
      <c r="A25" s="189">
        <v>21401</v>
      </c>
      <c r="B25" s="53" t="str">
        <f>VLOOKUP(A25,'Master Akun'!$A$3:$E$52,2,FALSE)</f>
        <v>Hutang PPh pasal 21</v>
      </c>
      <c r="C25" s="53"/>
      <c r="D25" s="190"/>
      <c r="E25" s="191">
        <f ca="1">'Buku Besar'!H172</f>
        <v>725000</v>
      </c>
    </row>
    <row r="26" spans="1:5" x14ac:dyDescent="0.25">
      <c r="A26" s="189">
        <v>21402</v>
      </c>
      <c r="B26" s="53" t="str">
        <f>VLOOKUP(A26,'Master Akun'!$A$3:$E$52,2,FALSE)</f>
        <v>Hutang PPh pasal 4</v>
      </c>
      <c r="C26" s="53"/>
      <c r="D26" s="190"/>
      <c r="E26" s="191">
        <f ca="1">'Buku Besar'!H181</f>
        <v>250000</v>
      </c>
    </row>
    <row r="27" spans="1:5" x14ac:dyDescent="0.25">
      <c r="A27" s="189">
        <v>21403</v>
      </c>
      <c r="B27" s="53" t="str">
        <f>VLOOKUP(A27,'Master Akun'!$A$3:$E$52,2,FALSE)</f>
        <v>PPN Keluaran</v>
      </c>
      <c r="C27" s="53"/>
      <c r="D27" s="190"/>
      <c r="E27" s="191">
        <f ca="1">'Buku Besar'!H190</f>
        <v>13969750</v>
      </c>
    </row>
    <row r="28" spans="1:5" x14ac:dyDescent="0.25">
      <c r="A28" s="189">
        <v>22001</v>
      </c>
      <c r="B28" s="53" t="str">
        <f>VLOOKUP(A28,'Master Akun'!$A$3:$E$52,2,FALSE)</f>
        <v>Hutang Bank Mandiri</v>
      </c>
      <c r="C28" s="53"/>
      <c r="D28" s="190"/>
      <c r="E28" s="191">
        <f ca="1">'Buku Besar'!H199</f>
        <v>75000000</v>
      </c>
    </row>
    <row r="29" spans="1:5" x14ac:dyDescent="0.25">
      <c r="A29" s="189">
        <v>31000</v>
      </c>
      <c r="B29" s="53" t="str">
        <f>VLOOKUP(A29,'Master Akun'!$A$3:$E$52,2,FALSE)</f>
        <v>Modal Saham</v>
      </c>
      <c r="C29" s="53"/>
      <c r="D29" s="190"/>
      <c r="E29" s="191">
        <f ca="1">'Buku Besar'!H208</f>
        <v>150000000</v>
      </c>
    </row>
    <row r="30" spans="1:5" x14ac:dyDescent="0.25">
      <c r="A30" s="189">
        <v>32000</v>
      </c>
      <c r="B30" s="53" t="str">
        <f>VLOOKUP(A30,'Master Akun'!$A$3:$E$52,2,FALSE)</f>
        <v>Laba Ditahan Periode Lalu</v>
      </c>
      <c r="C30" s="53"/>
      <c r="D30" s="190"/>
      <c r="E30" s="191">
        <f ca="1">'Buku Besar'!H217</f>
        <v>24630000</v>
      </c>
    </row>
    <row r="31" spans="1:5" x14ac:dyDescent="0.25">
      <c r="A31" s="189">
        <v>33000</v>
      </c>
      <c r="B31" s="53" t="str">
        <f>VLOOKUP(A31,'Master Akun'!$A$3:$E$52,2,FALSE)</f>
        <v>Laba Ditahan Periode Berjalan</v>
      </c>
      <c r="C31" s="53"/>
      <c r="D31" s="190"/>
      <c r="E31" s="191"/>
    </row>
    <row r="32" spans="1:5" x14ac:dyDescent="0.25">
      <c r="A32" s="189">
        <v>39999</v>
      </c>
      <c r="B32" s="53" t="str">
        <f>VLOOKUP(A32,'Master Akun'!$A$3:$E$52,2,FALSE)</f>
        <v>Perkiraan Penyeimbang</v>
      </c>
      <c r="C32" s="53"/>
      <c r="D32" s="190"/>
      <c r="E32" s="191"/>
    </row>
    <row r="33" spans="1:5" x14ac:dyDescent="0.25">
      <c r="A33" s="189">
        <v>41000</v>
      </c>
      <c r="B33" s="53" t="str">
        <f>VLOOKUP(A33,'Master Akun'!$A$3:$E$52,2,FALSE)</f>
        <v xml:space="preserve">Penjualan </v>
      </c>
      <c r="C33" s="53"/>
      <c r="D33" s="190"/>
      <c r="E33" s="191">
        <f ca="1">'Buku Besar'!H244</f>
        <v>143895000</v>
      </c>
    </row>
    <row r="34" spans="1:5" x14ac:dyDescent="0.25">
      <c r="A34" s="189">
        <v>42000</v>
      </c>
      <c r="B34" s="53" t="str">
        <f>VLOOKUP(A34,'Master Akun'!$A$3:$E$52,2,FALSE)</f>
        <v>Retur Penjualan</v>
      </c>
      <c r="C34" s="53"/>
      <c r="D34" s="190">
        <f ca="1">'Buku Besar'!G253</f>
        <v>2125000</v>
      </c>
      <c r="E34" s="191"/>
    </row>
    <row r="35" spans="1:5" x14ac:dyDescent="0.25">
      <c r="A35" s="189">
        <v>43000</v>
      </c>
      <c r="B35" s="53" t="str">
        <f>VLOOKUP(A35,'Master Akun'!$A$3:$E$52,2,FALSE)</f>
        <v>Potongan Penjualan</v>
      </c>
      <c r="C35" s="53"/>
      <c r="D35" s="190">
        <f ca="1">'Buku Besar'!G262</f>
        <v>3022500</v>
      </c>
      <c r="E35" s="191"/>
    </row>
    <row r="36" spans="1:5" x14ac:dyDescent="0.25">
      <c r="A36" s="189">
        <v>44000</v>
      </c>
      <c r="B36" s="53" t="str">
        <f>VLOOKUP(A36,'Master Akun'!$A$3:$E$52,2,FALSE)</f>
        <v>Ongkos Angkut</v>
      </c>
      <c r="C36" s="53"/>
      <c r="D36" s="190"/>
      <c r="E36" s="191"/>
    </row>
    <row r="37" spans="1:5" x14ac:dyDescent="0.25">
      <c r="A37" s="189">
        <v>51000</v>
      </c>
      <c r="B37" s="53" t="str">
        <f>VLOOKUP(A37,'Master Akun'!$A$3:$E$52,2,FALSE)</f>
        <v>Harga Pokok Penjualan</v>
      </c>
      <c r="C37" s="53"/>
      <c r="D37" s="190">
        <f ca="1">'Buku Besar'!G271</f>
        <v>116340000</v>
      </c>
      <c r="E37" s="191"/>
    </row>
    <row r="38" spans="1:5" x14ac:dyDescent="0.25">
      <c r="A38" s="189">
        <v>61001</v>
      </c>
      <c r="B38" s="53" t="str">
        <f>VLOOKUP(A38,'Master Akun'!$A$3:$E$52,2,FALSE)</f>
        <v>Beban Gaji Keryawan</v>
      </c>
      <c r="C38" s="53"/>
      <c r="D38" s="190">
        <f ca="1">'Buku Besar'!Q10</f>
        <v>14500000</v>
      </c>
      <c r="E38" s="191"/>
    </row>
    <row r="39" spans="1:5" x14ac:dyDescent="0.25">
      <c r="A39" s="189">
        <v>61002</v>
      </c>
      <c r="B39" s="53" t="str">
        <f>VLOOKUP(A39,'Master Akun'!$A$3:$E$52,2,FALSE)</f>
        <v>Beban Sewa</v>
      </c>
      <c r="C39" s="53"/>
      <c r="D39" s="190">
        <f ca="1">'Buku Besar'!Q19</f>
        <v>2500000</v>
      </c>
      <c r="E39" s="191"/>
    </row>
    <row r="40" spans="1:5" x14ac:dyDescent="0.25">
      <c r="A40" s="189">
        <v>61003</v>
      </c>
      <c r="B40" s="53" t="str">
        <f>VLOOKUP(A40,'Master Akun'!$A$3:$E$52,2,FALSE)</f>
        <v>Beban Piutang Tak Tertagih</v>
      </c>
      <c r="C40" s="53"/>
      <c r="D40" s="190">
        <f ca="1">'Buku Besar'!Q28</f>
        <v>2901750</v>
      </c>
      <c r="E40" s="191"/>
    </row>
    <row r="41" spans="1:5" x14ac:dyDescent="0.25">
      <c r="A41" s="189">
        <v>61004</v>
      </c>
      <c r="B41" s="53" t="str">
        <f>VLOOKUP(A41,'Master Akun'!$A$3:$E$52,2,FALSE)</f>
        <v>Beban Listrik</v>
      </c>
      <c r="C41" s="53"/>
      <c r="D41" s="190">
        <f ca="1">'Buku Besar'!Q37</f>
        <v>175000</v>
      </c>
      <c r="E41" s="191"/>
    </row>
    <row r="42" spans="1:5" x14ac:dyDescent="0.25">
      <c r="A42" s="189">
        <v>61005</v>
      </c>
      <c r="B42" s="53" t="str">
        <f>VLOOKUP(A42,'Master Akun'!$A$3:$E$52,2,FALSE)</f>
        <v>Beban Telepon</v>
      </c>
      <c r="C42" s="53"/>
      <c r="D42" s="190">
        <f ca="1">'Buku Besar'!Q46</f>
        <v>212500</v>
      </c>
      <c r="E42" s="191"/>
    </row>
    <row r="43" spans="1:5" x14ac:dyDescent="0.25">
      <c r="A43" s="189">
        <v>61006</v>
      </c>
      <c r="B43" s="53" t="str">
        <f>VLOOKUP(A43,'Master Akun'!$A$3:$E$52,2,FALSE)</f>
        <v>Beban Penyusutan Peralatan Kantor</v>
      </c>
      <c r="C43" s="53"/>
      <c r="D43" s="190">
        <f ca="1">'Buku Besar'!Q55</f>
        <v>400000</v>
      </c>
      <c r="E43" s="191"/>
    </row>
    <row r="44" spans="1:5" x14ac:dyDescent="0.25">
      <c r="A44" s="189">
        <v>61007</v>
      </c>
      <c r="B44" s="53" t="str">
        <f>VLOOKUP(A44,'Master Akun'!$A$3:$E$52,2,FALSE)</f>
        <v>Beban Penyusutan Kendaraan</v>
      </c>
      <c r="C44" s="53"/>
      <c r="D44" s="190">
        <f ca="1">'Buku Besar'!Q64</f>
        <v>500000</v>
      </c>
      <c r="E44" s="191"/>
    </row>
    <row r="45" spans="1:5" x14ac:dyDescent="0.25">
      <c r="A45" s="189">
        <v>61008</v>
      </c>
      <c r="B45" s="53" t="str">
        <f>VLOOKUP(A45,'Master Akun'!$A$3:$E$52,2,FALSE)</f>
        <v>Beban Pemasaran</v>
      </c>
      <c r="C45" s="53"/>
      <c r="D45" s="190">
        <f ca="1">'Buku Besar'!Q73</f>
        <v>750000</v>
      </c>
      <c r="E45" s="191"/>
    </row>
    <row r="46" spans="1:5" x14ac:dyDescent="0.25">
      <c r="A46" s="189">
        <v>61009</v>
      </c>
      <c r="B46" s="53" t="str">
        <f>VLOOKUP(A46,'Master Akun'!$A$3:$E$52,2,FALSE)</f>
        <v>Beban Transportasi</v>
      </c>
      <c r="C46" s="53"/>
      <c r="D46" s="190">
        <f ca="1">'Buku Besar'!Q82</f>
        <v>250000</v>
      </c>
      <c r="E46" s="191"/>
    </row>
    <row r="47" spans="1:5" x14ac:dyDescent="0.25">
      <c r="A47" s="189">
        <v>61010</v>
      </c>
      <c r="B47" s="53" t="str">
        <f>VLOOKUP(A47,'Master Akun'!$A$3:$E$52,2,FALSE)</f>
        <v>Beban Perawatan AC</v>
      </c>
      <c r="C47" s="53"/>
      <c r="D47" s="190">
        <f ca="1">'Buku Besar'!Q91</f>
        <v>200000</v>
      </c>
      <c r="E47" s="191"/>
    </row>
    <row r="48" spans="1:5" x14ac:dyDescent="0.25">
      <c r="A48" s="189">
        <v>61011</v>
      </c>
      <c r="B48" s="53" t="str">
        <f>VLOOKUP(A48,'Master Akun'!$A$3:$E$52,2,FALSE)</f>
        <v>Beban Perlengkapan Kantor</v>
      </c>
      <c r="C48" s="53"/>
      <c r="D48" s="190">
        <f ca="1">'Buku Besar'!Q100</f>
        <v>50000</v>
      </c>
      <c r="E48" s="191"/>
    </row>
    <row r="49" spans="1:5" x14ac:dyDescent="0.25">
      <c r="A49" s="189">
        <v>61099</v>
      </c>
      <c r="B49" s="53" t="str">
        <f>VLOOKUP(A49,'Master Akun'!$A$3:$E$52,2,FALSE)</f>
        <v>Beban Umum Lain-Lain</v>
      </c>
      <c r="C49" s="53"/>
      <c r="D49" s="190"/>
      <c r="E49" s="191"/>
    </row>
    <row r="50" spans="1:5" x14ac:dyDescent="0.25">
      <c r="A50" s="189">
        <v>81001</v>
      </c>
      <c r="B50" s="53" t="str">
        <f>VLOOKUP(A50,'Master Akun'!$A$3:$E$52,2,FALSE)</f>
        <v>Laba Penjualan Aktiva Tetap</v>
      </c>
      <c r="C50" s="53"/>
      <c r="D50" s="190"/>
      <c r="E50" s="191">
        <f ca="1">'Buku Besar'!R118</f>
        <v>1000000</v>
      </c>
    </row>
    <row r="51" spans="1:5" x14ac:dyDescent="0.25">
      <c r="A51" s="189">
        <v>81002</v>
      </c>
      <c r="B51" s="53" t="str">
        <f>VLOOKUP(A51,'Master Akun'!$A$3:$E$52,2,FALSE)</f>
        <v>Pendapatan Jasa Giro</v>
      </c>
      <c r="C51" s="53"/>
      <c r="D51" s="190"/>
      <c r="E51" s="191">
        <f ca="1">'Buku Besar'!R127</f>
        <v>1350000</v>
      </c>
    </row>
    <row r="52" spans="1:5" x14ac:dyDescent="0.25">
      <c r="A52" s="189">
        <v>91001</v>
      </c>
      <c r="B52" s="53" t="str">
        <f>VLOOKUP(A52,'Master Akun'!$A$3:$E$52,2,FALSE)</f>
        <v>Beban Administrasi Bank</v>
      </c>
      <c r="C52" s="53"/>
      <c r="D52" s="190">
        <f ca="1">'Buku Besar'!Q136</f>
        <v>150000</v>
      </c>
      <c r="E52" s="191"/>
    </row>
    <row r="53" spans="1:5" ht="16.5" thickBot="1" x14ac:dyDescent="0.3">
      <c r="A53" s="192">
        <v>91002</v>
      </c>
      <c r="B53" s="62" t="str">
        <f>VLOOKUP(A53,'Master Akun'!$A$3:$E$52,2,FALSE)</f>
        <v>Beban Bunga</v>
      </c>
      <c r="C53" s="62"/>
      <c r="D53" s="193">
        <f ca="1">'Buku Besar'!Q145</f>
        <v>1500000</v>
      </c>
      <c r="E53" s="194"/>
    </row>
    <row r="54" spans="1:5" ht="16.5" thickBot="1" x14ac:dyDescent="0.3">
      <c r="A54" s="106" t="s">
        <v>206</v>
      </c>
      <c r="B54" s="108"/>
      <c r="C54" s="195"/>
      <c r="D54" s="196">
        <f ca="1">SUM(D6:D53)</f>
        <v>493889000</v>
      </c>
      <c r="E54" s="197">
        <f ca="1">SUM(E6:E53)</f>
        <v>493889000</v>
      </c>
    </row>
  </sheetData>
  <mergeCells count="4">
    <mergeCell ref="A1:E1"/>
    <mergeCell ref="A2:E2"/>
    <mergeCell ref="A3:E3"/>
    <mergeCell ref="A54:B54"/>
  </mergeCells>
  <pageMargins left="0.7" right="0.7" top="0.75" bottom="0.75" header="0.3" footer="0.3"/>
  <pageSetup orientation="portrait" horizontalDpi="300" verticalDpi="300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620F92C-E032-47B8-98EF-9286CE09584A}">
  <dimension ref="A1:E32"/>
  <sheetViews>
    <sheetView showGridLines="0" workbookViewId="0">
      <selection activeCell="A41" sqref="B41"/>
    </sheetView>
  </sheetViews>
  <sheetFormatPr defaultRowHeight="15.75" x14ac:dyDescent="0.25"/>
  <cols>
    <col min="1" max="1" width="9.140625" style="40"/>
    <col min="2" max="2" width="32.85546875" style="40" bestFit="1" customWidth="1"/>
    <col min="3" max="3" width="15.7109375" style="40" bestFit="1" customWidth="1"/>
    <col min="4" max="4" width="16.85546875" style="40" bestFit="1" customWidth="1"/>
    <col min="5" max="16384" width="9.140625" style="40"/>
  </cols>
  <sheetData>
    <row r="1" spans="1:5" x14ac:dyDescent="0.25">
      <c r="A1" s="181" t="s">
        <v>191</v>
      </c>
      <c r="B1" s="181"/>
      <c r="C1" s="181"/>
      <c r="D1" s="181"/>
      <c r="E1" s="181"/>
    </row>
    <row r="2" spans="1:5" x14ac:dyDescent="0.25">
      <c r="A2" s="181" t="s">
        <v>213</v>
      </c>
      <c r="B2" s="181"/>
      <c r="C2" s="181"/>
      <c r="D2" s="181"/>
      <c r="E2" s="181"/>
    </row>
    <row r="3" spans="1:5" x14ac:dyDescent="0.25">
      <c r="A3" s="181" t="s">
        <v>207</v>
      </c>
      <c r="B3" s="92"/>
      <c r="C3" s="92"/>
      <c r="D3" s="92"/>
      <c r="E3" s="92"/>
    </row>
    <row r="4" spans="1:5" x14ac:dyDescent="0.25">
      <c r="A4" s="92"/>
      <c r="B4" s="92"/>
      <c r="C4" s="92"/>
      <c r="D4" s="92"/>
      <c r="E4" s="92"/>
    </row>
    <row r="5" spans="1:5" x14ac:dyDescent="0.25">
      <c r="A5" s="65">
        <v>41000</v>
      </c>
      <c r="B5" s="53" t="str">
        <f>VLOOKUP(A5,'Neraca Saldo'!$A$5:$E$54,2)</f>
        <v xml:space="preserve">Penjualan </v>
      </c>
      <c r="C5" s="64"/>
      <c r="D5" s="64">
        <f ca="1">VLOOKUP(A5,'Neraca Saldo'!$A$5:$E$54,5)</f>
        <v>143895000</v>
      </c>
      <c r="E5" s="39"/>
    </row>
    <row r="6" spans="1:5" x14ac:dyDescent="0.25">
      <c r="A6" s="65">
        <v>42000</v>
      </c>
      <c r="B6" s="53" t="str">
        <f>VLOOKUP(A6,'Neraca Saldo'!$A$5:$E$54,2)</f>
        <v>Retur Penjualan</v>
      </c>
      <c r="C6" s="64">
        <f ca="1">VLOOKUP(A6,'Neraca Saldo'!$A$5:$E$54,4)</f>
        <v>2125000</v>
      </c>
      <c r="D6" s="64"/>
      <c r="E6" s="39"/>
    </row>
    <row r="7" spans="1:5" x14ac:dyDescent="0.25">
      <c r="A7" s="65">
        <v>43000</v>
      </c>
      <c r="B7" s="53" t="str">
        <f>VLOOKUP(A7,'Neraca Saldo'!$A$5:$E$54,2)</f>
        <v>Potongan Penjualan</v>
      </c>
      <c r="C7" s="64">
        <f ca="1">VLOOKUP(A7,'Neraca Saldo'!$A$5:$E$54,4)</f>
        <v>3022500</v>
      </c>
      <c r="D7" s="64"/>
      <c r="E7" s="39"/>
    </row>
    <row r="8" spans="1:5" x14ac:dyDescent="0.25">
      <c r="A8" s="93" t="s">
        <v>214</v>
      </c>
      <c r="B8" s="93"/>
      <c r="C8" s="53"/>
      <c r="D8" s="63">
        <f ca="1">SUM(C6:C7)</f>
        <v>5147500</v>
      </c>
      <c r="E8" s="39"/>
    </row>
    <row r="9" spans="1:5" x14ac:dyDescent="0.25">
      <c r="A9" s="93" t="s">
        <v>215</v>
      </c>
      <c r="B9" s="93"/>
      <c r="C9" s="63"/>
      <c r="D9" s="63">
        <f ca="1">D5-D8</f>
        <v>138747500</v>
      </c>
    </row>
    <row r="10" spans="1:5" x14ac:dyDescent="0.25">
      <c r="A10" s="65">
        <v>51000</v>
      </c>
      <c r="B10" s="53" t="str">
        <f>VLOOKUP(A10,'Neraca Saldo'!$A$5:$E$54,2)</f>
        <v>Harga Pokok Penjualan</v>
      </c>
      <c r="C10" s="63"/>
      <c r="D10" s="66">
        <f ca="1">VLOOKUP(A10,'Neraca Saldo'!$A$5:$E$54,4,FALSE)</f>
        <v>116340000</v>
      </c>
      <c r="E10" s="41"/>
    </row>
    <row r="11" spans="1:5" x14ac:dyDescent="0.25">
      <c r="A11" s="93" t="s">
        <v>216</v>
      </c>
      <c r="B11" s="93"/>
      <c r="C11" s="66"/>
      <c r="D11" s="67">
        <f ca="1">D9-D10</f>
        <v>22407500</v>
      </c>
      <c r="E11" s="41"/>
    </row>
    <row r="12" spans="1:5" x14ac:dyDescent="0.25">
      <c r="A12" s="65">
        <v>61001</v>
      </c>
      <c r="B12" s="53" t="str">
        <f>VLOOKUP(A12,'Neraca Saldo'!$A$5:$E$54,2)</f>
        <v>Beban Gaji Keryawan</v>
      </c>
      <c r="C12" s="64">
        <f ca="1">VLOOKUP(A12,'Neraca Saldo'!$A$5:$E$54,4)</f>
        <v>14500000</v>
      </c>
      <c r="D12" s="66"/>
      <c r="E12" s="41"/>
    </row>
    <row r="13" spans="1:5" x14ac:dyDescent="0.25">
      <c r="A13" s="65">
        <v>61002</v>
      </c>
      <c r="B13" s="53" t="str">
        <f>VLOOKUP(A13,'Neraca Saldo'!$A$5:$E$54,2)</f>
        <v>Beban Sewa</v>
      </c>
      <c r="C13" s="64">
        <f ca="1">VLOOKUP(A13,'Neraca Saldo'!$A$5:$E$54,4)</f>
        <v>2500000</v>
      </c>
      <c r="D13" s="66"/>
      <c r="E13" s="41"/>
    </row>
    <row r="14" spans="1:5" x14ac:dyDescent="0.25">
      <c r="A14" s="65">
        <v>61003</v>
      </c>
      <c r="B14" s="53" t="str">
        <f>VLOOKUP(A14,'Neraca Saldo'!$A$5:$E$54,2)</f>
        <v>Beban Piutang Tak Tertagih</v>
      </c>
      <c r="C14" s="64">
        <f ca="1">VLOOKUP(A14,'Neraca Saldo'!$A$5:$E$54,4)</f>
        <v>2901750</v>
      </c>
      <c r="D14" s="66"/>
      <c r="E14" s="41"/>
    </row>
    <row r="15" spans="1:5" x14ac:dyDescent="0.25">
      <c r="A15" s="65">
        <v>61004</v>
      </c>
      <c r="B15" s="53" t="str">
        <f>VLOOKUP(A15,'Neraca Saldo'!$A$5:$E$54,2)</f>
        <v>Beban Listrik</v>
      </c>
      <c r="C15" s="64">
        <f ca="1">VLOOKUP(A15,'Neraca Saldo'!$A$5:$E$54,4)</f>
        <v>175000</v>
      </c>
      <c r="D15" s="66"/>
      <c r="E15" s="41"/>
    </row>
    <row r="16" spans="1:5" x14ac:dyDescent="0.25">
      <c r="A16" s="65">
        <v>61005</v>
      </c>
      <c r="B16" s="53" t="str">
        <f>VLOOKUP(A16,'Neraca Saldo'!$A$5:$E$54,2)</f>
        <v>Beban Telepon</v>
      </c>
      <c r="C16" s="64">
        <f ca="1">VLOOKUP(A16,'Neraca Saldo'!$A$5:$E$54,4)</f>
        <v>212500</v>
      </c>
      <c r="D16" s="66"/>
      <c r="E16" s="41"/>
    </row>
    <row r="17" spans="1:5" x14ac:dyDescent="0.25">
      <c r="A17" s="65">
        <v>61006</v>
      </c>
      <c r="B17" s="53" t="str">
        <f>VLOOKUP(A17,'Neraca Saldo'!$A$5:$E$54,2)</f>
        <v>Beban Penyusutan Peralatan Kantor</v>
      </c>
      <c r="C17" s="64">
        <f ca="1">VLOOKUP(A17,'Neraca Saldo'!$A$5:$E$54,4)</f>
        <v>400000</v>
      </c>
      <c r="D17" s="66"/>
      <c r="E17" s="41"/>
    </row>
    <row r="18" spans="1:5" x14ac:dyDescent="0.25">
      <c r="A18" s="65">
        <v>61007</v>
      </c>
      <c r="B18" s="53" t="str">
        <f>VLOOKUP(A18,'Neraca Saldo'!$A$5:$E$54,2)</f>
        <v>Beban Penyusutan Kendaraan</v>
      </c>
      <c r="C18" s="64">
        <f ca="1">VLOOKUP(A18,'Neraca Saldo'!$A$5:$E$54,4)</f>
        <v>500000</v>
      </c>
      <c r="D18" s="66"/>
      <c r="E18" s="41"/>
    </row>
    <row r="19" spans="1:5" x14ac:dyDescent="0.25">
      <c r="A19" s="65">
        <v>61008</v>
      </c>
      <c r="B19" s="53" t="str">
        <f>VLOOKUP(A19,'Neraca Saldo'!$A$5:$E$54,2)</f>
        <v>Beban Pemasaran</v>
      </c>
      <c r="C19" s="64">
        <f ca="1">VLOOKUP(A19,'Neraca Saldo'!$A$5:$E$54,4)</f>
        <v>750000</v>
      </c>
      <c r="D19" s="66"/>
      <c r="E19" s="41"/>
    </row>
    <row r="20" spans="1:5" x14ac:dyDescent="0.25">
      <c r="A20" s="65">
        <v>61009</v>
      </c>
      <c r="B20" s="53" t="str">
        <f>VLOOKUP(A20,'Neraca Saldo'!$A$5:$E$54,2)</f>
        <v>Beban Transportasi</v>
      </c>
      <c r="C20" s="64">
        <f ca="1">VLOOKUP(A20,'Neraca Saldo'!$A$5:$E$54,4)</f>
        <v>250000</v>
      </c>
      <c r="D20" s="66"/>
      <c r="E20" s="41"/>
    </row>
    <row r="21" spans="1:5" x14ac:dyDescent="0.25">
      <c r="A21" s="65">
        <v>61010</v>
      </c>
      <c r="B21" s="53" t="str">
        <f>VLOOKUP(A21,'Neraca Saldo'!$A$5:$E$54,2)</f>
        <v>Beban Perawatan AC</v>
      </c>
      <c r="C21" s="64">
        <f ca="1">VLOOKUP(A21,'Neraca Saldo'!$A$5:$E$54,4)</f>
        <v>200000</v>
      </c>
      <c r="D21" s="66"/>
      <c r="E21" s="41"/>
    </row>
    <row r="22" spans="1:5" x14ac:dyDescent="0.25">
      <c r="A22" s="65">
        <v>61011</v>
      </c>
      <c r="B22" s="53" t="str">
        <f>VLOOKUP(A22,'Neraca Saldo'!$A$5:$E$54,2)</f>
        <v>Beban Perlengkapan Kantor</v>
      </c>
      <c r="C22" s="64">
        <f ca="1">VLOOKUP(A22,'Neraca Saldo'!$A$5:$E$54,4)</f>
        <v>50000</v>
      </c>
      <c r="D22" s="66"/>
      <c r="E22" s="41"/>
    </row>
    <row r="23" spans="1:5" x14ac:dyDescent="0.25">
      <c r="A23" s="65">
        <v>61099</v>
      </c>
      <c r="B23" s="53" t="str">
        <f>VLOOKUP(A23,'Neraca Saldo'!$A$5:$E$54,2)</f>
        <v>Beban Umum Lain-Lain</v>
      </c>
      <c r="C23" s="64">
        <f>VLOOKUP(A23,'Neraca Saldo'!$A$5:$E$54,4)</f>
        <v>0</v>
      </c>
      <c r="D23" s="66"/>
      <c r="E23" s="41"/>
    </row>
    <row r="24" spans="1:5" x14ac:dyDescent="0.25">
      <c r="A24" s="93" t="s">
        <v>217</v>
      </c>
      <c r="B24" s="93"/>
      <c r="C24" s="66"/>
      <c r="D24" s="67">
        <f ca="1">SUM(C12:C23)</f>
        <v>22439250</v>
      </c>
      <c r="E24" s="41"/>
    </row>
    <row r="25" spans="1:5" x14ac:dyDescent="0.25">
      <c r="A25" s="65">
        <v>81001</v>
      </c>
      <c r="B25" s="53" t="str">
        <f>VLOOKUP(A25,'Neraca Saldo'!$A$5:$E$54,2)</f>
        <v>Laba Penjualan Aktiva Tetap</v>
      </c>
      <c r="C25" s="64">
        <f ca="1">VLOOKUP(A25,'Neraca Saldo'!$A$5:$E$54,5)</f>
        <v>1000000</v>
      </c>
      <c r="D25" s="66"/>
      <c r="E25" s="41"/>
    </row>
    <row r="26" spans="1:5" x14ac:dyDescent="0.25">
      <c r="A26" s="65">
        <v>81002</v>
      </c>
      <c r="B26" s="53" t="str">
        <f>VLOOKUP(A26,'Neraca Saldo'!$A$5:$E$54,2)</f>
        <v>Pendapatan Jasa Giro</v>
      </c>
      <c r="C26" s="64">
        <f ca="1">VLOOKUP(A26,'Neraca Saldo'!$A$5:$E$54,5)</f>
        <v>1350000</v>
      </c>
      <c r="D26" s="66"/>
      <c r="E26" s="41"/>
    </row>
    <row r="27" spans="1:5" x14ac:dyDescent="0.25">
      <c r="A27" s="93" t="s">
        <v>218</v>
      </c>
      <c r="B27" s="93"/>
      <c r="C27" s="66"/>
      <c r="D27" s="67">
        <f ca="1">C26+C25</f>
        <v>2350000</v>
      </c>
      <c r="E27" s="41"/>
    </row>
    <row r="28" spans="1:5" x14ac:dyDescent="0.25">
      <c r="A28" s="65">
        <v>91001</v>
      </c>
      <c r="B28" s="53" t="str">
        <f>VLOOKUP(A28,'Neraca Saldo'!$A$5:$E$54,2)</f>
        <v>Beban Administrasi Bank</v>
      </c>
      <c r="C28" s="64">
        <f ca="1">VLOOKUP(A28,'Neraca Saldo'!$A$5:$E$54,4)</f>
        <v>150000</v>
      </c>
      <c r="D28" s="66"/>
      <c r="E28" s="41"/>
    </row>
    <row r="29" spans="1:5" x14ac:dyDescent="0.25">
      <c r="A29" s="65">
        <v>91002</v>
      </c>
      <c r="B29" s="53" t="str">
        <f>VLOOKUP(A29,'Neraca Saldo'!$A$5:$E$54,2)</f>
        <v>Beban Bunga</v>
      </c>
      <c r="C29" s="64">
        <f ca="1">VLOOKUP(A29,'Neraca Saldo'!$A$5:$E$54,4)</f>
        <v>1500000</v>
      </c>
      <c r="D29" s="66"/>
      <c r="E29" s="41"/>
    </row>
    <row r="30" spans="1:5" x14ac:dyDescent="0.25">
      <c r="A30" s="93" t="s">
        <v>219</v>
      </c>
      <c r="B30" s="93"/>
      <c r="C30" s="66"/>
      <c r="D30" s="67">
        <f ca="1">C29+C28</f>
        <v>1650000</v>
      </c>
      <c r="E30" s="41"/>
    </row>
    <row r="31" spans="1:5" x14ac:dyDescent="0.25">
      <c r="A31" s="93" t="s">
        <v>220</v>
      </c>
      <c r="B31" s="93"/>
      <c r="C31" s="66"/>
      <c r="D31" s="67">
        <f ca="1">D27-D30</f>
        <v>700000</v>
      </c>
      <c r="E31" s="41"/>
    </row>
    <row r="32" spans="1:5" x14ac:dyDescent="0.25">
      <c r="A32" s="91" t="s">
        <v>221</v>
      </c>
      <c r="B32" s="91"/>
      <c r="C32" s="68"/>
      <c r="D32" s="69">
        <f ca="1">D11-D24+D31</f>
        <v>668250</v>
      </c>
      <c r="E32" s="41"/>
    </row>
  </sheetData>
  <mergeCells count="12">
    <mergeCell ref="A32:B32"/>
    <mergeCell ref="A1:E1"/>
    <mergeCell ref="A2:E2"/>
    <mergeCell ref="A3:E3"/>
    <mergeCell ref="A4:E4"/>
    <mergeCell ref="A8:B8"/>
    <mergeCell ref="A9:B9"/>
    <mergeCell ref="A11:B11"/>
    <mergeCell ref="A24:B24"/>
    <mergeCell ref="A27:B27"/>
    <mergeCell ref="A30:B30"/>
    <mergeCell ref="A31:B31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3793691-8E9E-4DBF-8B53-A6CC3CCE9217}">
  <dimension ref="A1:E10"/>
  <sheetViews>
    <sheetView showGridLines="0" workbookViewId="0">
      <selection activeCell="A41" sqref="B41"/>
    </sheetView>
  </sheetViews>
  <sheetFormatPr defaultRowHeight="15.75" x14ac:dyDescent="0.25"/>
  <cols>
    <col min="1" max="1" width="29.140625" style="40" bestFit="1" customWidth="1"/>
    <col min="2" max="2" width="12.42578125" style="40" bestFit="1" customWidth="1"/>
    <col min="3" max="3" width="15.42578125" style="40" bestFit="1" customWidth="1"/>
    <col min="4" max="16384" width="9.140625" style="40"/>
  </cols>
  <sheetData>
    <row r="1" spans="1:5" x14ac:dyDescent="0.25">
      <c r="A1" s="181" t="s">
        <v>191</v>
      </c>
      <c r="B1" s="181"/>
      <c r="C1" s="181"/>
      <c r="D1" s="181"/>
      <c r="E1" s="181"/>
    </row>
    <row r="2" spans="1:5" x14ac:dyDescent="0.25">
      <c r="A2" s="181" t="s">
        <v>213</v>
      </c>
      <c r="B2" s="181"/>
      <c r="C2" s="181"/>
      <c r="D2" s="181"/>
      <c r="E2" s="181"/>
    </row>
    <row r="3" spans="1:5" x14ac:dyDescent="0.25">
      <c r="A3" s="181" t="s">
        <v>207</v>
      </c>
      <c r="B3" s="92"/>
      <c r="C3" s="92"/>
      <c r="D3" s="92"/>
      <c r="E3" s="92"/>
    </row>
    <row r="5" spans="1:5" ht="16.5" thickBot="1" x14ac:dyDescent="0.3"/>
    <row r="6" spans="1:5" x14ac:dyDescent="0.25">
      <c r="A6" s="73" t="s">
        <v>222</v>
      </c>
      <c r="B6" s="74"/>
      <c r="C6" s="72">
        <f ca="1">'Neraca Saldo'!E30</f>
        <v>24630000</v>
      </c>
    </row>
    <row r="7" spans="1:5" x14ac:dyDescent="0.25">
      <c r="A7" s="75" t="s">
        <v>223</v>
      </c>
      <c r="B7" s="70">
        <f ca="1">LabaRugi!D32</f>
        <v>668250</v>
      </c>
      <c r="C7" s="76"/>
    </row>
    <row r="8" spans="1:5" x14ac:dyDescent="0.25">
      <c r="A8" s="75" t="s">
        <v>224</v>
      </c>
      <c r="B8" s="68">
        <v>0</v>
      </c>
      <c r="C8" s="76"/>
    </row>
    <row r="9" spans="1:5" ht="16.5" thickBot="1" x14ac:dyDescent="0.3">
      <c r="A9" s="77"/>
      <c r="B9" s="45"/>
      <c r="C9" s="78">
        <f ca="1">B8+B7</f>
        <v>668250</v>
      </c>
    </row>
    <row r="10" spans="1:5" ht="16.5" thickBot="1" x14ac:dyDescent="0.3">
      <c r="A10" s="94" t="s">
        <v>225</v>
      </c>
      <c r="B10" s="95"/>
      <c r="C10" s="71">
        <f ca="1">SUM(C6:C9)</f>
        <v>25298250</v>
      </c>
    </row>
  </sheetData>
  <mergeCells count="4">
    <mergeCell ref="A1:E1"/>
    <mergeCell ref="A2:E2"/>
    <mergeCell ref="A3:E3"/>
    <mergeCell ref="A10:B10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5A7BB2E-A71D-43C6-8645-A02B0F683C3C}">
  <dimension ref="A1:F27"/>
  <sheetViews>
    <sheetView showGridLines="0" tabSelected="1" zoomScale="62" workbookViewId="0">
      <selection activeCell="H13" sqref="H13"/>
    </sheetView>
  </sheetViews>
  <sheetFormatPr defaultRowHeight="15.75" x14ac:dyDescent="0.25"/>
  <cols>
    <col min="1" max="1" width="9.140625" style="40"/>
    <col min="2" max="2" width="39" style="40" bestFit="1" customWidth="1"/>
    <col min="3" max="3" width="24.5703125" style="40" bestFit="1" customWidth="1"/>
    <col min="4" max="4" width="8.42578125" style="40" bestFit="1" customWidth="1"/>
    <col min="5" max="5" width="37.7109375" style="40" bestFit="1" customWidth="1"/>
    <col min="6" max="6" width="24.5703125" style="40" bestFit="1" customWidth="1"/>
    <col min="7" max="16384" width="9.140625" style="40"/>
  </cols>
  <sheetData>
    <row r="1" spans="1:6" x14ac:dyDescent="0.25">
      <c r="A1" s="181" t="s">
        <v>191</v>
      </c>
      <c r="B1" s="181"/>
      <c r="C1" s="181"/>
      <c r="D1" s="181"/>
      <c r="E1" s="181"/>
      <c r="F1" s="181"/>
    </row>
    <row r="2" spans="1:6" x14ac:dyDescent="0.25">
      <c r="A2" s="181" t="s">
        <v>241</v>
      </c>
      <c r="B2" s="181"/>
      <c r="C2" s="181"/>
      <c r="D2" s="181"/>
      <c r="E2" s="181"/>
      <c r="F2" s="181"/>
    </row>
    <row r="3" spans="1:6" x14ac:dyDescent="0.25">
      <c r="A3" s="181" t="s">
        <v>207</v>
      </c>
      <c r="B3" s="181"/>
      <c r="C3" s="181"/>
      <c r="D3" s="181"/>
      <c r="E3" s="181"/>
      <c r="F3" s="181"/>
    </row>
    <row r="4" spans="1:6" ht="16.5" thickBot="1" x14ac:dyDescent="0.3"/>
    <row r="5" spans="1:6" ht="16.5" thickBot="1" x14ac:dyDescent="0.3">
      <c r="A5" s="99" t="s">
        <v>228</v>
      </c>
      <c r="B5" s="100"/>
      <c r="C5" s="100"/>
      <c r="D5" s="99" t="s">
        <v>230</v>
      </c>
      <c r="E5" s="100"/>
      <c r="F5" s="101"/>
    </row>
    <row r="6" spans="1:6" x14ac:dyDescent="0.25">
      <c r="A6" s="114" t="s">
        <v>229</v>
      </c>
      <c r="B6" s="115"/>
      <c r="C6" s="115"/>
      <c r="D6" s="116" t="s">
        <v>231</v>
      </c>
      <c r="E6" s="117"/>
      <c r="F6" s="118"/>
    </row>
    <row r="7" spans="1:6" x14ac:dyDescent="0.25">
      <c r="A7" s="49">
        <v>11101</v>
      </c>
      <c r="B7" s="50" t="str">
        <f>VLOOKUP(Neraca!A7,'Neraca Saldo'!$A$5:$E$54,2,FALSE)</f>
        <v>Kas Ditangan</v>
      </c>
      <c r="C7" s="51">
        <f ca="1">VLOOKUP(Neraca!A7,'Neraca Saldo'!$A$5:$E$54,4,FALSE)</f>
        <v>62773250</v>
      </c>
      <c r="D7" s="49">
        <v>21100</v>
      </c>
      <c r="E7" s="53" t="str">
        <f>VLOOKUP(Neraca!D7,'Neraca Saldo'!$A$5:$E$54,2,FALSE)</f>
        <v>Hutang Usaha</v>
      </c>
      <c r="F7" s="54">
        <f ca="1">VLOOKUP(Neraca!D7,'Neraca Saldo'!$A$5:$E$54,5,FALSE)</f>
        <v>46567500</v>
      </c>
    </row>
    <row r="8" spans="1:6" x14ac:dyDescent="0.25">
      <c r="A8" s="49">
        <v>11102</v>
      </c>
      <c r="B8" s="50" t="str">
        <f>VLOOKUP(Neraca!A8,'Neraca Saldo'!$A$5:$E$54,2,FALSE)</f>
        <v>Kas Kecil</v>
      </c>
      <c r="C8" s="51">
        <f ca="1">VLOOKUP(Neraca!A8,'Neraca Saldo'!$A$5:$E$54,4,FALSE)</f>
        <v>750000</v>
      </c>
      <c r="D8" s="49">
        <v>21200</v>
      </c>
      <c r="E8" s="53" t="str">
        <f>VLOOKUP(Neraca!D8,'Neraca Saldo'!$A$5:$E$54,2,FALSE)</f>
        <v>Pendapatan Diterima Dimuka-Jasa Kirim</v>
      </c>
      <c r="F8" s="54">
        <f ca="1">VLOOKUP(Neraca!D8,'Neraca Saldo'!$A$5:$E$54,5,FALSE)</f>
        <v>200000</v>
      </c>
    </row>
    <row r="9" spans="1:6" x14ac:dyDescent="0.25">
      <c r="A9" s="49">
        <v>11201</v>
      </c>
      <c r="B9" s="50" t="str">
        <f>VLOOKUP(Neraca!A9,'Neraca Saldo'!$A$5:$E$54,2,FALSE)</f>
        <v>Bank BCA</v>
      </c>
      <c r="C9" s="51">
        <f ca="1">VLOOKUP(Neraca!A9,'Neraca Saldo'!$A$5:$E$54,4,FALSE)</f>
        <v>21875000</v>
      </c>
      <c r="D9" s="49">
        <v>21300</v>
      </c>
      <c r="E9" s="53" t="str">
        <f>VLOOKUP(Neraca!D9,'Neraca Saldo'!$A$5:$E$54,2,FALSE)</f>
        <v>Hutang Bunga</v>
      </c>
      <c r="F9" s="54">
        <f ca="1">VLOOKUP(Neraca!D9,'Neraca Saldo'!$A$5:$E$54,5,FALSE)</f>
        <v>1500000</v>
      </c>
    </row>
    <row r="10" spans="1:6" x14ac:dyDescent="0.25">
      <c r="A10" s="49">
        <v>11202</v>
      </c>
      <c r="B10" s="50" t="str">
        <f>VLOOKUP(Neraca!A10,'Neraca Saldo'!$A$5:$E$54,2,FALSE)</f>
        <v>Bank Mandiri</v>
      </c>
      <c r="C10" s="51">
        <f ca="1">VLOOKUP(Neraca!A10,'Neraca Saldo'!$A$5:$E$54,4,FALSE)</f>
        <v>53521500</v>
      </c>
      <c r="D10" s="49">
        <v>21400</v>
      </c>
      <c r="E10" s="53" t="str">
        <f>VLOOKUP(Neraca!D10,'Neraca Saldo'!$A$5:$E$54,2,FALSE)</f>
        <v>Hutang Pajak</v>
      </c>
      <c r="F10" s="54">
        <f>VLOOKUP(Neraca!D10,'Neraca Saldo'!$A$5:$E$54,5,FALSE)</f>
        <v>0</v>
      </c>
    </row>
    <row r="11" spans="1:6" x14ac:dyDescent="0.25">
      <c r="A11" s="49">
        <v>11301</v>
      </c>
      <c r="B11" s="50" t="str">
        <f>VLOOKUP(Neraca!A11,'Neraca Saldo'!$A$5:$E$54,2,FALSE)</f>
        <v>Piutang Usaha</v>
      </c>
      <c r="C11" s="51">
        <f ca="1">VLOOKUP(Neraca!A11,'Neraca Saldo'!$A$5:$E$54,4,FALSE)</f>
        <v>58035000</v>
      </c>
      <c r="D11" s="49">
        <v>21401</v>
      </c>
      <c r="E11" s="53" t="str">
        <f>VLOOKUP(Neraca!D11,'Neraca Saldo'!$A$5:$E$54,2,FALSE)</f>
        <v>Hutang PPh pasal 21</v>
      </c>
      <c r="F11" s="54">
        <f ca="1">VLOOKUP(Neraca!D11,'Neraca Saldo'!$A$5:$E$54,5,FALSE)</f>
        <v>725000</v>
      </c>
    </row>
    <row r="12" spans="1:6" x14ac:dyDescent="0.25">
      <c r="A12" s="49">
        <v>11302</v>
      </c>
      <c r="B12" s="50" t="str">
        <f>VLOOKUP(Neraca!A12,'Neraca Saldo'!$A$5:$E$54,2,FALSE)</f>
        <v>Cadangan Piutang Tak Tertagih</v>
      </c>
      <c r="C12" s="51">
        <f ca="1">-VLOOKUP(Neraca!A12,'Neraca Saldo'!$A$5:$E$54,5,FALSE)</f>
        <v>-2901750</v>
      </c>
      <c r="D12" s="49">
        <v>21402</v>
      </c>
      <c r="E12" s="53" t="str">
        <f>VLOOKUP(Neraca!D12,'Neraca Saldo'!$A$5:$E$54,2,FALSE)</f>
        <v>Hutang PPh pasal 4</v>
      </c>
      <c r="F12" s="54">
        <f ca="1">VLOOKUP(Neraca!D12,'Neraca Saldo'!$A$5:$E$54,5,FALSE)</f>
        <v>250000</v>
      </c>
    </row>
    <row r="13" spans="1:6" ht="16.5" thickBot="1" x14ac:dyDescent="0.3">
      <c r="A13" s="49">
        <v>11401</v>
      </c>
      <c r="B13" s="50" t="str">
        <f>VLOOKUP(Neraca!A13,'Neraca Saldo'!$A$5:$E$54,2,FALSE)</f>
        <v>Piutang Karyawan</v>
      </c>
      <c r="C13" s="51">
        <f ca="1">VLOOKUP(Neraca!A13,'Neraca Saldo'!$A$5:$E$54,4,FALSE)</f>
        <v>2000000</v>
      </c>
      <c r="D13" s="49">
        <v>21403</v>
      </c>
      <c r="E13" s="53" t="str">
        <f>VLOOKUP(Neraca!D13,'Neraca Saldo'!$A$5:$E$54,2,FALSE)</f>
        <v>PPN Keluaran</v>
      </c>
      <c r="F13" s="55">
        <f ca="1">VLOOKUP(Neraca!D13,'Neraca Saldo'!$A$5:$E$54,5,FALSE)</f>
        <v>13969750</v>
      </c>
    </row>
    <row r="14" spans="1:6" ht="16.5" thickBot="1" x14ac:dyDescent="0.3">
      <c r="A14" s="49">
        <v>11500</v>
      </c>
      <c r="B14" s="50" t="str">
        <f>VLOOKUP(Neraca!A14,'Neraca Saldo'!$A$5:$E$54,2,FALSE)</f>
        <v>Persediaan Barang Dagang</v>
      </c>
      <c r="C14" s="51">
        <f ca="1">VLOOKUP(Neraca!A14,'Neraca Saldo'!$A$5:$E$54,4,FALSE)</f>
        <v>71465000</v>
      </c>
      <c r="D14" s="102" t="s">
        <v>232</v>
      </c>
      <c r="E14" s="103"/>
      <c r="F14" s="42">
        <f ca="1">SUM(F7:F13)</f>
        <v>63212250</v>
      </c>
    </row>
    <row r="15" spans="1:6" x14ac:dyDescent="0.25">
      <c r="A15" s="49">
        <v>11600</v>
      </c>
      <c r="B15" s="50" t="str">
        <f>VLOOKUP(Neraca!A15,'Neraca Saldo'!$A$5:$E$54,2,FALSE)</f>
        <v>Pembayaran Dimuka</v>
      </c>
      <c r="C15" s="51">
        <f>VLOOKUP(Neraca!A15,'Neraca Saldo'!$A$5:$E$54,5,FALSE)</f>
        <v>0</v>
      </c>
      <c r="D15" s="109"/>
      <c r="E15" s="110"/>
      <c r="F15" s="111"/>
    </row>
    <row r="16" spans="1:6" x14ac:dyDescent="0.25">
      <c r="A16" s="49">
        <v>11601</v>
      </c>
      <c r="B16" s="50" t="str">
        <f>VLOOKUP(Neraca!A16,'Neraca Saldo'!$A$5:$E$54,2,FALSE)</f>
        <v>PPN Masukan</v>
      </c>
      <c r="C16" s="51">
        <f ca="1">VLOOKUP(Neraca!A16,'Neraca Saldo'!$A$5:$E$54,4,FALSE)</f>
        <v>2392500</v>
      </c>
      <c r="D16" s="112" t="s">
        <v>233</v>
      </c>
      <c r="E16" s="113"/>
      <c r="F16" s="54"/>
    </row>
    <row r="17" spans="1:6" ht="16.5" thickBot="1" x14ac:dyDescent="0.3">
      <c r="A17" s="49">
        <v>11602</v>
      </c>
      <c r="B17" s="50" t="str">
        <f>VLOOKUP(Neraca!A17,'Neraca Saldo'!$A$5:$E$54,2,FALSE)</f>
        <v>Uang Muka Pembelian</v>
      </c>
      <c r="C17" s="52">
        <f ca="1">VLOOKUP(Neraca!A17,'Neraca Saldo'!$A$5:$E$54,5,FALSE)</f>
        <v>0</v>
      </c>
      <c r="D17" s="49">
        <v>22001</v>
      </c>
      <c r="E17" s="56" t="str">
        <f>VLOOKUP(Neraca!D17,'Neraca Saldo'!$A$5:$E$54,2,FALSE)</f>
        <v>Hutang Bank Mandiri</v>
      </c>
      <c r="F17" s="55">
        <f ca="1">VLOOKUP(Neraca!D17,'Neraca Saldo'!$A$5:$E$54,5,FALSE)</f>
        <v>75000000</v>
      </c>
    </row>
    <row r="18" spans="1:6" ht="16.5" thickBot="1" x14ac:dyDescent="0.3">
      <c r="A18" s="119" t="s">
        <v>236</v>
      </c>
      <c r="B18" s="120"/>
      <c r="C18" s="43">
        <f ca="1">SUM(C7:C17)</f>
        <v>269910500</v>
      </c>
      <c r="D18" s="104" t="s">
        <v>234</v>
      </c>
      <c r="E18" s="105"/>
      <c r="F18" s="42">
        <f ca="1">F17</f>
        <v>75000000</v>
      </c>
    </row>
    <row r="19" spans="1:6" ht="16.5" thickBot="1" x14ac:dyDescent="0.3">
      <c r="A19" s="112" t="s">
        <v>237</v>
      </c>
      <c r="B19" s="113"/>
      <c r="C19" s="57"/>
      <c r="D19" s="102" t="s">
        <v>235</v>
      </c>
      <c r="E19" s="103"/>
      <c r="F19" s="42">
        <f ca="1">F14+F18</f>
        <v>138212250</v>
      </c>
    </row>
    <row r="20" spans="1:6" x14ac:dyDescent="0.25">
      <c r="A20" s="49">
        <v>12101</v>
      </c>
      <c r="B20" s="50" t="str">
        <f>VLOOKUP(Neraca!A20,'Neraca Saldo'!$A$5:$E$54,2,FALSE)</f>
        <v>Peralatan Kantor</v>
      </c>
      <c r="C20" s="58">
        <f ca="1">VLOOKUP(Neraca!A20,'Neraca Saldo'!$A$5:$E$54,4,FALSE)</f>
        <v>25000000</v>
      </c>
      <c r="D20" s="109"/>
      <c r="E20" s="110"/>
      <c r="F20" s="111"/>
    </row>
    <row r="21" spans="1:6" x14ac:dyDescent="0.25">
      <c r="A21" s="49">
        <v>12102</v>
      </c>
      <c r="B21" s="50" t="str">
        <f>VLOOKUP(Neraca!A21,'Neraca Saldo'!$A$5:$E$54,2,FALSE)</f>
        <v>Akm Peny Peralatan Kantor</v>
      </c>
      <c r="C21" s="58">
        <f ca="1">-VLOOKUP(Neraca!A21,'Neraca Saldo'!$A$5:$E$54,5,FALSE)</f>
        <v>-7900000</v>
      </c>
      <c r="D21" s="112" t="s">
        <v>238</v>
      </c>
      <c r="E21" s="113"/>
      <c r="F21" s="54"/>
    </row>
    <row r="22" spans="1:6" x14ac:dyDescent="0.25">
      <c r="A22" s="49">
        <v>12201</v>
      </c>
      <c r="B22" s="50" t="str">
        <f>VLOOKUP(Neraca!A22,'Neraca Saldo'!$A$5:$E$54,2,FALSE)</f>
        <v>Kendaraan</v>
      </c>
      <c r="C22" s="58">
        <f ca="1">VLOOKUP(Neraca!A22,'Neraca Saldo'!$A$5:$E$54,4,FALSE)</f>
        <v>50500000</v>
      </c>
      <c r="D22" s="49">
        <v>31000</v>
      </c>
      <c r="E22" s="53" t="str">
        <f>VLOOKUP(Neraca!D22,'Neraca Saldo'!$A$5:$E$54,2,FALSE)</f>
        <v>Modal Saham</v>
      </c>
      <c r="F22" s="54">
        <f ca="1">VLOOKUP(Neraca!D22,'Neraca Saldo'!$A$5:$E$54,5,FALSE)</f>
        <v>150000000</v>
      </c>
    </row>
    <row r="23" spans="1:6" ht="16.5" thickBot="1" x14ac:dyDescent="0.3">
      <c r="A23" s="59">
        <v>12202</v>
      </c>
      <c r="B23" s="50" t="str">
        <f>VLOOKUP(Neraca!A23,'Neraca Saldo'!$A$5:$E$54,2,FALSE)</f>
        <v>Akm Peny Kendaraan</v>
      </c>
      <c r="C23" s="60">
        <f ca="1">-VLOOKUP(Neraca!A23,'Neraca Saldo'!$A$5:$E$54,5,FALSE)</f>
        <v>-24000000</v>
      </c>
      <c r="D23" s="49">
        <v>32000</v>
      </c>
      <c r="E23" s="53" t="str">
        <f>VLOOKUP(Neraca!D23,'Neraca Saldo'!$A$5:$E$54,2,FALSE)</f>
        <v>Laba Ditahan Periode Lalu</v>
      </c>
      <c r="F23" s="54"/>
    </row>
    <row r="24" spans="1:6" ht="16.5" thickBot="1" x14ac:dyDescent="0.3">
      <c r="A24" s="106" t="s">
        <v>240</v>
      </c>
      <c r="B24" s="108"/>
      <c r="C24" s="44">
        <f ca="1">SUM(C20:C23)</f>
        <v>43600000</v>
      </c>
      <c r="D24" s="49">
        <v>33000</v>
      </c>
      <c r="E24" s="53" t="str">
        <f>VLOOKUP(Neraca!D24,'Neraca Saldo'!$A$5:$E$54,2,FALSE)</f>
        <v>Laba Ditahan Periode Berjalan</v>
      </c>
      <c r="F24" s="54">
        <f ca="1">'L.laba ditahan'!C10</f>
        <v>25298250</v>
      </c>
    </row>
    <row r="25" spans="1:6" ht="16.5" thickBot="1" x14ac:dyDescent="0.3">
      <c r="A25" s="182"/>
      <c r="B25" s="182"/>
      <c r="C25" s="182"/>
      <c r="D25" s="59">
        <v>39999</v>
      </c>
      <c r="E25" s="62" t="str">
        <f>VLOOKUP(Neraca!D25,'Neraca Saldo'!$A$5:$E$54,2,FALSE)</f>
        <v>Perkiraan Penyeimbang</v>
      </c>
      <c r="F25" s="55"/>
    </row>
    <row r="26" spans="1:6" ht="16.5" thickBot="1" x14ac:dyDescent="0.3">
      <c r="A26" s="96"/>
      <c r="B26" s="96"/>
      <c r="C26" s="61"/>
      <c r="D26" s="106" t="s">
        <v>239</v>
      </c>
      <c r="E26" s="107"/>
      <c r="F26" s="46">
        <f ca="1">SUM(F22:F25)</f>
        <v>175298250</v>
      </c>
    </row>
    <row r="27" spans="1:6" ht="16.5" thickBot="1" x14ac:dyDescent="0.3">
      <c r="A27" s="47" t="s">
        <v>226</v>
      </c>
      <c r="B27" s="47"/>
      <c r="C27" s="43">
        <f ca="1">C18+C24</f>
        <v>313510500</v>
      </c>
      <c r="D27" s="97" t="s">
        <v>227</v>
      </c>
      <c r="E27" s="98"/>
      <c r="F27" s="48">
        <f ca="1">F26+F19</f>
        <v>313510500</v>
      </c>
    </row>
  </sheetData>
  <mergeCells count="20">
    <mergeCell ref="D6:F6"/>
    <mergeCell ref="D16:E16"/>
    <mergeCell ref="A18:B18"/>
    <mergeCell ref="D21:E21"/>
    <mergeCell ref="A26:B26"/>
    <mergeCell ref="D27:E27"/>
    <mergeCell ref="A1:F1"/>
    <mergeCell ref="A2:F2"/>
    <mergeCell ref="A3:F3"/>
    <mergeCell ref="A5:C5"/>
    <mergeCell ref="D5:F5"/>
    <mergeCell ref="D14:E14"/>
    <mergeCell ref="D18:E18"/>
    <mergeCell ref="D19:E19"/>
    <mergeCell ref="D26:E26"/>
    <mergeCell ref="A24:B24"/>
    <mergeCell ref="D20:F20"/>
    <mergeCell ref="D15:F15"/>
    <mergeCell ref="A19:B19"/>
    <mergeCell ref="A6:C6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10</vt:i4>
      </vt:variant>
    </vt:vector>
  </HeadingPairs>
  <TitlesOfParts>
    <vt:vector size="10" baseType="lpstr">
      <vt:lpstr>Master Akun</vt:lpstr>
      <vt:lpstr>Jurnal Umum</vt:lpstr>
      <vt:lpstr>Buku Besar</vt:lpstr>
      <vt:lpstr>BB Piutang</vt:lpstr>
      <vt:lpstr>BB Hutang</vt:lpstr>
      <vt:lpstr>Neraca Saldo</vt:lpstr>
      <vt:lpstr>LabaRugi</vt:lpstr>
      <vt:lpstr>L.laba ditahan</vt:lpstr>
      <vt:lpstr>Neraca</vt:lpstr>
      <vt:lpstr>BB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alfiyyah ulfah;Alfiyyah Zahiroh</dc:creator>
  <cp:lastModifiedBy>acer</cp:lastModifiedBy>
  <dcterms:created xsi:type="dcterms:W3CDTF">2020-12-28T01:22:30Z</dcterms:created>
  <dcterms:modified xsi:type="dcterms:W3CDTF">2021-02-03T02:01:43Z</dcterms:modified>
</cp:coreProperties>
</file>