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240" yWindow="60" windowWidth="20055" windowHeight="7950" firstSheet="4" activeTab="0" tabRatio="860"/>
  </bookViews>
  <sheets>
    <sheet name="Master Account" sheetId="1" r:id="rId2"/>
    <sheet name="MASTER BUKU BANTU" sheetId="2" r:id="rId3"/>
    <sheet name="JURNAL UMUM" sheetId="3" r:id="rId4"/>
    <sheet name="BUKU PEMBANTU PIUTANG" sheetId="4" r:id="rId5"/>
    <sheet name="BUKU PEMBANTU HUTANG" sheetId="5" r:id="rId6"/>
    <sheet name="BUKU PEMBANTU PERSEDIAAN" sheetId="6" r:id="rId7"/>
    <sheet name="BUKU BESAR" sheetId="7" r:id="rId8"/>
    <sheet name="TRIAL BALANCE" sheetId="8" r:id="rId9"/>
    <sheet name="LAP LR" sheetId="9" r:id="rId10"/>
    <sheet name="LAP PERUBAHAN MODAL" sheetId="10" r:id="rId11"/>
    <sheet name="NERACA" sheetId="11" r:id="rId12"/>
    <sheet name="NERACA SALDO PENUTUP" sheetId="12" r:id="rId13"/>
  </sheets>
  <externalReferences>
    <externalReference r:id="rId1"/>
  </externalReferences>
</workbook>
</file>

<file path=xl/sharedStrings.xml><?xml version="1.0" encoding="utf-8"?>
<sst xmlns="http://schemas.openxmlformats.org/spreadsheetml/2006/main" uniqueCount="251" count="251">
  <si>
    <t>DAFTAR NAMA ACCOUNT PT. FADALI FURNITUR</t>
  </si>
  <si>
    <t>Account Name</t>
  </si>
  <si>
    <t>AKTIVA</t>
  </si>
  <si>
    <t>AKTIVA LANCAR</t>
  </si>
  <si>
    <t>KAS</t>
  </si>
  <si>
    <t>Kas Di Tangan</t>
  </si>
  <si>
    <t>Kas Kecil</t>
  </si>
  <si>
    <t>BANK</t>
  </si>
  <si>
    <t>Bank BCA</t>
  </si>
  <si>
    <t>Bank Mandiri</t>
  </si>
  <si>
    <t>PIUTANG USAHA BERSIH</t>
  </si>
  <si>
    <t xml:space="preserve">Piutang Usaha </t>
  </si>
  <si>
    <t>Cadangan Piutang Tak Tertagih</t>
  </si>
  <si>
    <t>PIUTANG LAIN-LAIN</t>
  </si>
  <si>
    <t>Piutang Karyawan</t>
  </si>
  <si>
    <t>PERSEDIAAN BARANG DAGANGAN</t>
  </si>
  <si>
    <t>PEMBAYARAN DIMUKA</t>
  </si>
  <si>
    <t>PPN Masukan</t>
  </si>
  <si>
    <t>Uang Muka Pembelian</t>
  </si>
  <si>
    <t>AKTIVA TETAP</t>
  </si>
  <si>
    <t>NILAI PEMBUKUAN PERALATAN KANTOR</t>
  </si>
  <si>
    <t>Peralatan Kantor</t>
  </si>
  <si>
    <t>Akumulasi Penyusutan Peralatan Kantor</t>
  </si>
  <si>
    <t>NILAI BUKU KENDARAAN</t>
  </si>
  <si>
    <t>Kendaraan</t>
  </si>
  <si>
    <t>Akumulasi Penyusutan Kendaraan</t>
  </si>
  <si>
    <t>KEWAJIBAN</t>
  </si>
  <si>
    <t>KEWAJIBAN LANCAR</t>
  </si>
  <si>
    <t>Hutang Usaha</t>
  </si>
  <si>
    <t>Pendapatan Diterima Dimuka-Jasa Kirim</t>
  </si>
  <si>
    <t>Hutang Bunga</t>
  </si>
  <si>
    <t>Hutang Pajak</t>
  </si>
  <si>
    <t>Utang PPh Pasal 21</t>
  </si>
  <si>
    <t>Utang PPh Pasal 4</t>
  </si>
  <si>
    <t xml:space="preserve">PPN Keluaran </t>
  </si>
  <si>
    <t>KEWAJIBAN JANGKA PANJANG</t>
  </si>
  <si>
    <t>Hutang Bank Mandiri</t>
  </si>
  <si>
    <t>No. Acc</t>
  </si>
  <si>
    <t>Ref</t>
  </si>
  <si>
    <t>Debit</t>
  </si>
  <si>
    <t>Kredit</t>
  </si>
  <si>
    <t>EKUITAS</t>
  </si>
  <si>
    <t>Modal Saham</t>
  </si>
  <si>
    <t>Laba Ditahan Periode Lalu</t>
  </si>
  <si>
    <t>laba Ditahan Periode Berjalan</t>
  </si>
  <si>
    <t>Perkiraan Penyeimbang</t>
  </si>
  <si>
    <t>PEJUALAN BERSIH</t>
  </si>
  <si>
    <t xml:space="preserve">Penjualan </t>
  </si>
  <si>
    <t xml:space="preserve">Retur Penjualan </t>
  </si>
  <si>
    <t>Potongan Penjualan</t>
  </si>
  <si>
    <t>HARGA POKOK</t>
  </si>
  <si>
    <t>Harga Pokok Pejualan</t>
  </si>
  <si>
    <t>BEBAN USAHA</t>
  </si>
  <si>
    <t>Beban Gaji Karyawan</t>
  </si>
  <si>
    <t>Beban Sewa</t>
  </si>
  <si>
    <t>Beban Piutang Tak Tertagih</t>
  </si>
  <si>
    <t>Beban Listrik</t>
  </si>
  <si>
    <t>Beban Telepon</t>
  </si>
  <si>
    <t>Beban Penyusutan Peralatan Kantor</t>
  </si>
  <si>
    <t>Beban Penyusutan Kendaraan</t>
  </si>
  <si>
    <t>Beban Pemasaran</t>
  </si>
  <si>
    <t>Beban Transportasi</t>
  </si>
  <si>
    <t>Beban Perawatan AC</t>
  </si>
  <si>
    <t>Beban Perlengkapan Kantor</t>
  </si>
  <si>
    <t>Beban Umum Lain-Lain</t>
  </si>
  <si>
    <t>Laba Penjualan Aktiva Tetap</t>
  </si>
  <si>
    <t>Pendapatan Jasa Giro</t>
  </si>
  <si>
    <t>BEBAN LUAR USAHA</t>
  </si>
  <si>
    <t>Beban Administrasi Bank</t>
  </si>
  <si>
    <t>PT. FADALI FURNITUR</t>
  </si>
  <si>
    <t>NERACA SALDO</t>
  </si>
  <si>
    <t>Jumlah</t>
  </si>
  <si>
    <t>MASTER BUKU BANTU</t>
  </si>
  <si>
    <t xml:space="preserve">Kode Barang </t>
  </si>
  <si>
    <t xml:space="preserve">Kuantitas </t>
  </si>
  <si>
    <t xml:space="preserve">Harga Pokok/ Unit  </t>
  </si>
  <si>
    <t xml:space="preserve">Total Harga Pokok </t>
  </si>
  <si>
    <t>P01</t>
  </si>
  <si>
    <t>QUEEN C405</t>
  </si>
  <si>
    <t>P02</t>
  </si>
  <si>
    <t>QUEEN C605</t>
  </si>
  <si>
    <t>P03</t>
  </si>
  <si>
    <t>STONES C109</t>
  </si>
  <si>
    <t>P04</t>
  </si>
  <si>
    <t>STONES C303</t>
  </si>
  <si>
    <t>P05</t>
  </si>
  <si>
    <t>EBIET D708</t>
  </si>
  <si>
    <t>P06</t>
  </si>
  <si>
    <t>EBIET D908</t>
  </si>
  <si>
    <t>P07</t>
  </si>
  <si>
    <t>TAMERLAND L1</t>
  </si>
  <si>
    <t>P08</t>
  </si>
  <si>
    <t>TAMERLAND L2</t>
  </si>
  <si>
    <t>P09</t>
  </si>
  <si>
    <t>TAMERLAND L3</t>
  </si>
  <si>
    <t xml:space="preserve">JUMLAH </t>
  </si>
  <si>
    <t>Satuan</t>
  </si>
  <si>
    <t>Harga Beli</t>
  </si>
  <si>
    <t>Harga Jual</t>
  </si>
  <si>
    <t>Nama Produk</t>
  </si>
  <si>
    <t>Kelompok KURSI</t>
  </si>
  <si>
    <t>Kelompok MEJA KERJA</t>
  </si>
  <si>
    <t>Kelompok LEMARI ARSIP</t>
  </si>
  <si>
    <t>buah</t>
  </si>
  <si>
    <t>DAFTAR PIUTANG</t>
  </si>
  <si>
    <t xml:space="preserve">Kode </t>
  </si>
  <si>
    <t>Nama Pelanggan</t>
  </si>
  <si>
    <t>Jumlah Piutang</t>
  </si>
  <si>
    <t>Keterangan</t>
  </si>
  <si>
    <t>C01</t>
  </si>
  <si>
    <t>PT.GUNUNG AGUNG</t>
  </si>
  <si>
    <t xml:space="preserve">Tanggal 1 Januari 2006, Termin 2/10 n/30 </t>
  </si>
  <si>
    <t>C02</t>
  </si>
  <si>
    <t>TOKO BUKU UTAMA</t>
  </si>
  <si>
    <t>C03</t>
  </si>
  <si>
    <t>CV MEBEL ABADI</t>
  </si>
  <si>
    <t xml:space="preserve">Tanggal 1 Januari 2006, Termin 3/10 n/30 </t>
  </si>
  <si>
    <t>C04</t>
  </si>
  <si>
    <t>CV SEMBILAN SEMBILAN</t>
  </si>
  <si>
    <t>DAFTAR HUTANG</t>
  </si>
  <si>
    <t>Nama Pemasok</t>
  </si>
  <si>
    <t>S01</t>
  </si>
  <si>
    <t>CV USAHA MAJU</t>
  </si>
  <si>
    <t xml:space="preserve">Tanggal 1 Januari 2006, Termin 5/10 n/50 </t>
  </si>
  <si>
    <t>S02</t>
  </si>
  <si>
    <t>PT KARYA BERSAMA</t>
  </si>
  <si>
    <t>S03</t>
  </si>
  <si>
    <t>UD BERSAUDARA</t>
  </si>
  <si>
    <t>JURNAL UMUM</t>
  </si>
  <si>
    <t>BULAN JANUARI 2006</t>
  </si>
  <si>
    <t>ALAT BANTU PERSEDIAAN</t>
  </si>
  <si>
    <t>No ACC</t>
  </si>
  <si>
    <t>TGL</t>
  </si>
  <si>
    <t>No. Bukti</t>
  </si>
  <si>
    <t>KETERANGAN / NAMA AKUN</t>
  </si>
  <si>
    <t>RF</t>
  </si>
  <si>
    <t>DEBIT</t>
  </si>
  <si>
    <t>KREDIT</t>
  </si>
  <si>
    <t>KODE PERSEDIAAN</t>
  </si>
  <si>
    <t>PENERIMAAN</t>
  </si>
  <si>
    <t>PENGELUARAN</t>
  </si>
  <si>
    <t>SALDO</t>
  </si>
  <si>
    <t>QTTY</t>
  </si>
  <si>
    <t>HARGA</t>
  </si>
  <si>
    <t>JUMLAH</t>
  </si>
  <si>
    <t>Kode Pelanggan</t>
  </si>
  <si>
    <t>KETERANGAN</t>
  </si>
  <si>
    <t>Saldo Awal</t>
  </si>
  <si>
    <t>Mutasi Piutang</t>
  </si>
  <si>
    <t>PT.FADALI FURNITUR</t>
  </si>
  <si>
    <t>BUKU PEMBANTU PIUTANG</t>
  </si>
  <si>
    <t>PT. KHARISMA DI GITAL</t>
  </si>
  <si>
    <t>BUKU PEMBANTU HUTANG</t>
  </si>
  <si>
    <t>Kode Suplier</t>
  </si>
  <si>
    <t>Nama Suplier</t>
  </si>
  <si>
    <t>Mutasi Hutang</t>
  </si>
  <si>
    <t>BUKU PEMBANTU PERSEDIAAN</t>
  </si>
  <si>
    <t>Kode Persediaan</t>
  </si>
  <si>
    <t>Nama Persediaan</t>
  </si>
  <si>
    <t>No</t>
  </si>
  <si>
    <t>Tanggal</t>
  </si>
  <si>
    <t>Penerimaan</t>
  </si>
  <si>
    <t>Pengeluaran</t>
  </si>
  <si>
    <t>Saldo</t>
  </si>
  <si>
    <t>Qtty</t>
  </si>
  <si>
    <t>Harga</t>
  </si>
  <si>
    <t>Mutasi Persediian</t>
  </si>
  <si>
    <t>Kode Akun</t>
  </si>
  <si>
    <t>Nama Perkiraan</t>
  </si>
  <si>
    <t>Mutasi Transaksi</t>
  </si>
  <si>
    <t>BUKU BESAR</t>
  </si>
  <si>
    <t>Neraca Saldo Awal</t>
  </si>
  <si>
    <t>Mutasi</t>
  </si>
  <si>
    <t>Neraca Saldo Akhir</t>
  </si>
  <si>
    <t>Debet</t>
  </si>
  <si>
    <t>BULAN</t>
  </si>
  <si>
    <t>TOTAL</t>
  </si>
  <si>
    <t xml:space="preserve">LAPORAN LABA RUGI </t>
  </si>
  <si>
    <t>PERIODE YANG BERAKHIR PADA JANUARI 2015</t>
  </si>
  <si>
    <t xml:space="preserve">PENJUALAN  </t>
  </si>
  <si>
    <t>Jumlah Potongan dan Retur</t>
  </si>
  <si>
    <t>Penjulan Bersih</t>
  </si>
  <si>
    <t>Harga Pokok Penjualan</t>
  </si>
  <si>
    <t>Laba Kotor Penjualan</t>
  </si>
  <si>
    <t>Beban Usaha</t>
  </si>
  <si>
    <t>Jumlah Beban Usaha</t>
  </si>
  <si>
    <t>LABA SEBELUM PENDAPATAN DAN BEBAN DI LUAR USAHA</t>
  </si>
  <si>
    <t>Pendapatan Lain lain</t>
  </si>
  <si>
    <t>Jumlah Pendapatan Lain lain</t>
  </si>
  <si>
    <t>Biaya Lain lain</t>
  </si>
  <si>
    <t>Beban Bunga</t>
  </si>
  <si>
    <t>Jumlah Biaya Lain lain</t>
  </si>
  <si>
    <t>Jumlan Pendapatan dan Biaya Lain lain</t>
  </si>
  <si>
    <t>Laba Bersih Sebelum Pajak</t>
  </si>
  <si>
    <t>LAPORAN PERUBAHAN LABA DI TAHAN</t>
  </si>
  <si>
    <t>Laba Bersih</t>
  </si>
  <si>
    <t>Kenaikan Laba Ditahan</t>
  </si>
  <si>
    <t>Laba di Tahan Akhir Periode</t>
  </si>
  <si>
    <t>LAPORAN POSISI KEUANGAN (NERACA)</t>
  </si>
  <si>
    <t>BULAN JANUARI 2015</t>
  </si>
  <si>
    <t>Jumlah Aktiva Lancar</t>
  </si>
  <si>
    <t>Jumlah Aktiva Tetap</t>
  </si>
  <si>
    <t>Jumlah Aktiva</t>
  </si>
  <si>
    <t>Jumlah Kewajiban Lancar</t>
  </si>
  <si>
    <t>Jumlah Kewajiban Jangka Panjang</t>
  </si>
  <si>
    <t>Jumlah Kewajiban</t>
  </si>
  <si>
    <t>Jumlah Ekuitas</t>
  </si>
  <si>
    <t>Jumlah Kewajiban + Ekuitas</t>
  </si>
  <si>
    <t>Laba Ditahan Awal Periode</t>
  </si>
  <si>
    <t>JURNAL PENYESUAIAN:</t>
  </si>
  <si>
    <t>01/PO/01/06</t>
  </si>
  <si>
    <t>01/KK/01/06</t>
  </si>
  <si>
    <t>01/J/01/06</t>
  </si>
  <si>
    <t>01/KM/01/06</t>
  </si>
  <si>
    <t>01/B/01/06</t>
  </si>
  <si>
    <t>01/NK/01/06</t>
  </si>
  <si>
    <t>02/KK/01/06</t>
  </si>
  <si>
    <t>02/KM/01/06</t>
  </si>
  <si>
    <t>03/KM/01/06</t>
  </si>
  <si>
    <t>03/KK/01/06</t>
  </si>
  <si>
    <t>01/NR/01/06</t>
  </si>
  <si>
    <t>04/KM/01/06</t>
  </si>
  <si>
    <t>04/KK/01/06</t>
  </si>
  <si>
    <t>05/KK/01/06</t>
  </si>
  <si>
    <t>02/J/01/06</t>
  </si>
  <si>
    <t>03/J/01/06</t>
  </si>
  <si>
    <t>02/NR/01/06</t>
  </si>
  <si>
    <t>04/J/01/06</t>
  </si>
  <si>
    <t>06/KK/01/06</t>
  </si>
  <si>
    <t>C06</t>
  </si>
  <si>
    <t>07/KK/01/06</t>
  </si>
  <si>
    <t>08/KK/01/06</t>
  </si>
  <si>
    <t>05/KM/01/06</t>
  </si>
  <si>
    <t>05/J/01/06</t>
  </si>
  <si>
    <t>06/KM/01/06</t>
  </si>
  <si>
    <t>09/KK/01/06</t>
  </si>
  <si>
    <t>1/BM/01/06</t>
  </si>
  <si>
    <t>02/BM/01/06</t>
  </si>
  <si>
    <t>03/BM/01/06</t>
  </si>
  <si>
    <t>04/BM/01/06</t>
  </si>
  <si>
    <t>NERACA SALDO SETELAH PENUTUPAN</t>
  </si>
  <si>
    <t>No Akun</t>
  </si>
  <si>
    <t>Nama Akun</t>
  </si>
  <si>
    <t>JURNAL PENUTUP</t>
  </si>
  <si>
    <t>Ikhtisar Laba Rugi</t>
  </si>
  <si>
    <t>PENDAPATAN LUAR USAHA</t>
  </si>
  <si>
    <t>Nama : Agus Bayu Laksono</t>
  </si>
  <si>
    <t>NPM : 1912120070</t>
  </si>
  <si>
    <t xml:space="preserve">Nama  </t>
  </si>
  <si>
    <t xml:space="preserve">Nama  : Agus Bayu Laksono </t>
  </si>
  <si>
    <t>NPM  : 1912120070</t>
  </si>
</sst>
</file>

<file path=xl/styles.xml><?xml version="1.0" encoding="utf-8"?>
<styleSheet xmlns="http://schemas.openxmlformats.org/spreadsheetml/2006/main">
  <numFmts count="10">
    <numFmt numFmtId="0" formatCode="General"/>
    <numFmt numFmtId="165" formatCode="_(* #,##0_);_(* \(#,##0\);_(* &quot;-&quot;_);_(@_)"/>
    <numFmt numFmtId="167" formatCode="_(* #,##0_);_(* \(#,##0\);_(* &quot;-&quot;??_);_(@_)"/>
    <numFmt numFmtId="168" formatCode="_-* #,##0_-;\-* #,##0_-;_-* &quot;-&quot;_-;_-@_-"/>
    <numFmt numFmtId="169" formatCode="d\-mmm\-yy"/>
    <numFmt numFmtId="14" formatCode="m/d/yyyy"/>
    <numFmt numFmtId="170" formatCode="d\-mmm"/>
    <numFmt numFmtId="166" formatCode="_(* #,##0.00_);_(* \(#,##0.00\);_(* &quot;-&quot;??_);_(@_)"/>
    <numFmt numFmtId="164" formatCode="_(&quot;Rp&quot;* #,##0_);_(&quot;Rp&quot;* \(#,##0\);_(&quot;Rp&quot;* &quot;-&quot;_);_(@_)"/>
    <numFmt numFmtId="17" formatCode="mmm-yy"/>
  </numFmts>
  <fonts count="21">
    <font>
      <name val="Calibri"/>
      <sz val="11"/>
    </font>
    <font>
      <name val="Calibri"/>
      <b/>
      <sz val="11"/>
      <color rgb="FF000000"/>
    </font>
    <font>
      <name val="Calibri"/>
      <sz val="11"/>
      <color rgb="FF000000"/>
    </font>
    <font>
      <name val="Arial Narrow"/>
      <b/>
      <sz val="11"/>
      <color rgb="FF000000"/>
    </font>
    <font>
      <name val="Arial Narrow"/>
      <sz val="11"/>
      <color rgb="FF000000"/>
    </font>
    <font>
      <name val="Arial Narrow"/>
      <sz val="11"/>
    </font>
    <font>
      <name val="Calibri"/>
      <sz val="11"/>
    </font>
    <font>
      <name val="Calibri"/>
      <b/>
      <sz val="11"/>
    </font>
    <font>
      <name val="Calibri"/>
      <sz val="11"/>
    </font>
    <font>
      <name val="Arial Narrow"/>
      <b/>
      <sz val="11"/>
    </font>
    <font>
      <name val="Calibri"/>
      <sz val="11"/>
      <color rgb="FFFFFFFF"/>
    </font>
    <font>
      <name val="Times New Roman"/>
      <sz val="11"/>
      <color rgb="FF000000"/>
    </font>
    <font>
      <name val="Times New Roman"/>
      <b/>
      <sz val="11"/>
      <color rgb="FF000000"/>
    </font>
    <font>
      <name val="Times New Roman"/>
      <b/>
      <sz val="12"/>
      <color rgb="FF000000"/>
    </font>
    <font>
      <name val="Times New Roman"/>
      <b/>
      <i/>
      <sz val="11"/>
      <color rgb="FF000000"/>
    </font>
    <font>
      <name val="Times New Roman"/>
      <sz val="11"/>
      <color rgb="FF000000"/>
    </font>
    <font>
      <name val="Times New Roman"/>
      <b/>
      <sz val="11"/>
      <color rgb="FF000000"/>
    </font>
    <font>
      <name val="Times New Roman"/>
      <b/>
      <sz val="12"/>
      <color rgb="FF000000"/>
    </font>
    <font>
      <name val="Times New Roman"/>
      <sz val="12"/>
      <color rgb="FF000000"/>
    </font>
    <font>
      <name val="Calibri"/>
      <sz val="12"/>
      <color rgb="FF000000"/>
    </font>
    <font>
      <name val="Calibri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8D8D8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9">
    <xf numFmtId="0" fontId="0" fillId="0" borderId="0">
      <alignment vertical="center"/>
    </xf>
    <xf numFmtId="166" fontId="20" fillId="0" borderId="0">
      <alignment vertical="bottom"/>
      <protection locked="0" hidden="0"/>
    </xf>
    <xf numFmtId="166" fontId="20" fillId="0" borderId="0">
      <alignment vertical="bottom"/>
      <protection locked="0" hidden="0"/>
    </xf>
    <xf numFmtId="166" fontId="20" fillId="0" borderId="0">
      <alignment vertical="bottom"/>
      <protection locked="0" hidden="0"/>
    </xf>
    <xf numFmtId="166" fontId="20" fillId="0" borderId="0">
      <alignment vertical="bottom"/>
      <protection locked="0" hidden="0"/>
    </xf>
    <xf numFmtId="166" fontId="20" fillId="0" borderId="0">
      <alignment vertical="bottom"/>
      <protection locked="0" hidden="0"/>
    </xf>
    <xf numFmtId="166" fontId="20" fillId="0" borderId="0">
      <alignment vertical="bottom"/>
      <protection locked="0" hidden="0"/>
    </xf>
    <xf numFmtId="166" fontId="20" fillId="0" borderId="0">
      <alignment vertical="bottom"/>
      <protection locked="0" hidden="0"/>
    </xf>
    <xf numFmtId="166" fontId="20" fillId="0" borderId="0">
      <alignment vertical="bottom"/>
      <protection locked="0" hidden="0"/>
    </xf>
  </cellStyleXfs>
  <cellXfs count="332">
    <xf numFmtId="0" fontId="0" fillId="0" borderId="0" xfId="0">
      <alignment vertical="center"/>
    </xf>
    <xf numFmtId="0" fontId="1" fillId="0" borderId="0" xfId="0" applyFont="1" applyAlignment="1">
      <alignment horizontal="center" vertical="bottom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bottom"/>
    </xf>
    <xf numFmtId="0" fontId="1" fillId="2" borderId="3" xfId="0" applyFont="1" applyFill="1" applyBorder="1" applyAlignment="1">
      <alignment horizontal="center" vertical="bottom"/>
    </xf>
    <xf numFmtId="0" fontId="1" fillId="0" borderId="4" xfId="0" applyFont="1" applyBorder="1" applyAlignment="1">
      <alignment horizontal="center" vertical="bottom"/>
    </xf>
    <xf numFmtId="0" fontId="1" fillId="0" borderId="5" xfId="0" applyFont="1" applyBorder="1" applyAlignment="1">
      <alignment vertical="bottom"/>
    </xf>
    <xf numFmtId="0" fontId="2" fillId="0" borderId="5" xfId="0" applyFont="1" applyBorder="1" applyAlignment="1">
      <alignment vertical="bottom"/>
    </xf>
    <xf numFmtId="165" fontId="2" fillId="0" borderId="5" xfId="1" applyNumberFormat="1" applyFont="1" applyBorder="1" applyAlignment="1">
      <alignment vertical="bottom"/>
    </xf>
    <xf numFmtId="165" fontId="2" fillId="0" borderId="6" xfId="1" applyNumberFormat="1" applyFont="1" applyBorder="1" applyAlignment="1">
      <alignment vertical="bottom"/>
    </xf>
    <xf numFmtId="0" fontId="2" fillId="0" borderId="4" xfId="0" applyFont="1" applyBorder="1" applyAlignment="1">
      <alignment horizontal="center" vertical="bottom"/>
    </xf>
    <xf numFmtId="0" fontId="2" fillId="0" borderId="0" xfId="0" applyFont="1" applyAlignment="1">
      <alignment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2" fillId="2" borderId="8" xfId="0" applyFont="1" applyFill="1" applyBorder="1" applyAlignment="1">
      <alignment vertical="bottom"/>
    </xf>
    <xf numFmtId="165" fontId="1" fillId="2" borderId="8" xfId="0" applyNumberFormat="1" applyFont="1" applyFill="1" applyBorder="1" applyAlignment="1">
      <alignment vertical="bottom"/>
    </xf>
    <xf numFmtId="165" fontId="1" fillId="2" borderId="9" xfId="0" applyNumberFormat="1" applyFont="1" applyFill="1" applyBorder="1" applyAlignment="1">
      <alignment vertical="bottom"/>
    </xf>
    <xf numFmtId="0" fontId="1" fillId="0" borderId="0" xfId="0" applyFont="1" applyAlignment="1">
      <alignment vertical="bottom"/>
    </xf>
    <xf numFmtId="0" fontId="3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165" fontId="4" fillId="0" borderId="10" xfId="2" applyNumberFormat="1" applyFont="1" applyBorder="1">
      <alignment vertical="center"/>
    </xf>
    <xf numFmtId="165" fontId="4" fillId="0" borderId="10" xfId="0" applyNumberFormat="1" applyFont="1" applyBorder="1">
      <alignment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10" xfId="2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165" fontId="5" fillId="0" borderId="10" xfId="0" applyNumberFormat="1" applyFont="1" applyBorder="1">
      <alignment vertical="center"/>
    </xf>
    <xf numFmtId="165" fontId="5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5" fontId="3" fillId="2" borderId="10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bottom"/>
    </xf>
    <xf numFmtId="0" fontId="2" fillId="0" borderId="0" xfId="0" applyFont="1" applyBorder="1" applyAlignment="1">
      <alignment vertical="bottom"/>
    </xf>
    <xf numFmtId="0" fontId="1" fillId="2" borderId="13" xfId="0" applyFont="1" applyFill="1" applyBorder="1" applyAlignment="1">
      <alignment vertical="bottom"/>
    </xf>
    <xf numFmtId="0" fontId="2" fillId="2" borderId="14" xfId="0" applyFont="1" applyFill="1" applyBorder="1" applyAlignment="1">
      <alignment vertical="bottom"/>
    </xf>
    <xf numFmtId="0" fontId="2" fillId="2" borderId="15" xfId="0" applyFont="1" applyFill="1" applyBorder="1" applyAlignment="1">
      <alignment vertical="bottom"/>
    </xf>
    <xf numFmtId="0" fontId="1" fillId="2" borderId="16" xfId="0" applyFont="1" applyFill="1" applyBorder="1" applyAlignment="1">
      <alignment horizontal="center" vertical="bottom"/>
    </xf>
    <xf numFmtId="0" fontId="1" fillId="2" borderId="17" xfId="0" applyFont="1" applyFill="1" applyBorder="1" applyAlignment="1">
      <alignment horizontal="center" vertical="bottom"/>
    </xf>
    <xf numFmtId="0" fontId="1" fillId="2" borderId="18" xfId="0" applyFont="1" applyFill="1" applyBorder="1" applyAlignment="1">
      <alignment horizontal="center" vertical="bottom"/>
    </xf>
    <xf numFmtId="0" fontId="2" fillId="0" borderId="4" xfId="0" applyFont="1" applyBorder="1" applyAlignment="1">
      <alignment vertical="bottom"/>
    </xf>
    <xf numFmtId="0" fontId="2" fillId="0" borderId="5" xfId="0" applyFont="1" applyBorder="1" applyAlignment="1">
      <alignment vertical="bottom"/>
    </xf>
    <xf numFmtId="167" fontId="2" fillId="0" borderId="5" xfId="3" applyNumberFormat="1" applyFont="1" applyBorder="1" applyAlignment="1">
      <alignment vertical="bottom"/>
    </xf>
    <xf numFmtId="0" fontId="2" fillId="0" borderId="6" xfId="0" applyFont="1" applyBorder="1" applyAlignment="1">
      <alignment vertical="bottom"/>
    </xf>
    <xf numFmtId="165" fontId="6" fillId="0" borderId="0" xfId="0" applyNumberFormat="1">
      <alignment vertical="center"/>
    </xf>
    <xf numFmtId="0" fontId="2" fillId="0" borderId="19" xfId="0" applyFont="1" applyBorder="1" applyAlignment="1">
      <alignment vertical="bottom"/>
    </xf>
    <xf numFmtId="167" fontId="2" fillId="0" borderId="19" xfId="3" applyNumberFormat="1" applyFont="1" applyBorder="1" applyAlignment="1">
      <alignment vertical="bottom"/>
    </xf>
    <xf numFmtId="0" fontId="2" fillId="0" borderId="20" xfId="0" applyFont="1" applyBorder="1" applyAlignment="1">
      <alignment vertical="bottom"/>
    </xf>
    <xf numFmtId="0" fontId="2" fillId="0" borderId="21" xfId="0" applyFont="1" applyBorder="1" applyAlignment="1">
      <alignment vertical="bottom"/>
    </xf>
    <xf numFmtId="0" fontId="2" fillId="0" borderId="7" xfId="0" applyFont="1" applyBorder="1" applyAlignment="1">
      <alignment vertical="bottom"/>
    </xf>
    <xf numFmtId="0" fontId="2" fillId="0" borderId="8" xfId="0" applyFont="1" applyBorder="1" applyAlignment="1">
      <alignment vertical="bottom"/>
    </xf>
    <xf numFmtId="167" fontId="1" fillId="0" borderId="8" xfId="0" applyNumberFormat="1" applyFont="1" applyBorder="1" applyAlignment="1">
      <alignment vertical="bottom"/>
    </xf>
    <xf numFmtId="0" fontId="2" fillId="0" borderId="9" xfId="0" applyFont="1" applyBorder="1" applyAlignment="1">
      <alignment vertical="bottom"/>
    </xf>
    <xf numFmtId="0" fontId="2" fillId="0" borderId="0" xfId="0" applyFont="1" applyAlignment="1">
      <alignment vertical="bottom"/>
    </xf>
    <xf numFmtId="0" fontId="2" fillId="0" borderId="0" xfId="0" applyFont="1" applyAlignment="1">
      <alignment vertical="bottom"/>
    </xf>
    <xf numFmtId="0" fontId="7" fillId="0" borderId="0" xfId="0" applyFont="1" applyAlignment="1">
      <alignment vertical="bottom"/>
    </xf>
    <xf numFmtId="0" fontId="7" fillId="0" borderId="0" xfId="0" applyFont="1" applyAlignment="1">
      <alignment vertical="bottom"/>
    </xf>
    <xf numFmtId="0" fontId="8" fillId="0" borderId="0" xfId="0" applyFont="1" applyAlignment="1">
      <alignment vertical="bottom"/>
    </xf>
    <xf numFmtId="165" fontId="8" fillId="0" borderId="0" xfId="4" applyNumberFormat="1" applyFont="1" applyAlignment="1">
      <alignment vertical="bottom"/>
    </xf>
    <xf numFmtId="0" fontId="8" fillId="3" borderId="0" xfId="0" applyFont="1" applyFill="1" applyAlignment="1">
      <alignment vertical="bottom"/>
    </xf>
    <xf numFmtId="165" fontId="8" fillId="3" borderId="0" xfId="4" applyNumberFormat="1" applyFont="1" applyFill="1" applyAlignment="1">
      <alignment vertical="bottom"/>
    </xf>
    <xf numFmtId="0" fontId="7" fillId="2" borderId="11" xfId="0" applyFont="1" applyFill="1" applyBorder="1" applyAlignment="1">
      <alignment horizontal="center" vertical="bottom"/>
    </xf>
    <xf numFmtId="0" fontId="7" fillId="2" borderId="22" xfId="0" applyFont="1" applyFill="1" applyBorder="1" applyAlignment="1">
      <alignment horizontal="center" vertical="bottom"/>
    </xf>
    <xf numFmtId="0" fontId="7" fillId="2" borderId="12" xfId="0" applyFont="1" applyFill="1" applyBorder="1" applyAlignment="1">
      <alignment horizontal="center" vertical="bottom"/>
    </xf>
    <xf numFmtId="0" fontId="7" fillId="2" borderId="23" xfId="0" applyFont="1" applyFill="1" applyBorder="1" applyAlignment="1">
      <alignment horizontal="center" vertical="center"/>
    </xf>
    <xf numFmtId="165" fontId="7" fillId="2" borderId="23" xfId="4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65" fontId="7" fillId="2" borderId="25" xfId="4" applyNumberFormat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bottom"/>
    </xf>
    <xf numFmtId="0" fontId="7" fillId="2" borderId="27" xfId="0" applyFont="1" applyFill="1" applyBorder="1" applyAlignment="1">
      <alignment horizontal="center" vertical="bottom"/>
    </xf>
    <xf numFmtId="0" fontId="7" fillId="2" borderId="28" xfId="0" applyFont="1" applyFill="1" applyBorder="1" applyAlignment="1">
      <alignment horizontal="center" vertical="bottom"/>
    </xf>
    <xf numFmtId="0" fontId="7" fillId="2" borderId="29" xfId="0" applyFont="1" applyFill="1" applyBorder="1" applyAlignment="1">
      <alignment horizontal="center" vertical="bottom"/>
    </xf>
    <xf numFmtId="0" fontId="7" fillId="2" borderId="30" xfId="0" applyFont="1" applyFill="1" applyBorder="1" applyAlignment="1">
      <alignment horizontal="center" vertical="bottom"/>
    </xf>
    <xf numFmtId="0" fontId="7" fillId="2" borderId="31" xfId="0" applyFont="1" applyFill="1" applyBorder="1" applyAlignment="1">
      <alignment horizontal="center" vertical="bottom"/>
    </xf>
    <xf numFmtId="0" fontId="2" fillId="0" borderId="32" xfId="0" applyFont="1" applyBorder="1" applyAlignment="1">
      <alignment vertical="bottom"/>
    </xf>
    <xf numFmtId="0" fontId="2" fillId="0" borderId="23" xfId="0" applyFont="1" applyBorder="1" applyAlignment="1">
      <alignment vertical="bottom"/>
    </xf>
    <xf numFmtId="168" fontId="2" fillId="0" borderId="33" xfId="0" applyNumberFormat="1" applyFont="1" applyBorder="1" applyAlignment="1">
      <alignment vertical="bottom"/>
    </xf>
    <xf numFmtId="168" fontId="2" fillId="0" borderId="2" xfId="0" applyNumberFormat="1" applyFont="1" applyBorder="1" applyAlignment="1">
      <alignment vertical="bottom"/>
    </xf>
    <xf numFmtId="168" fontId="2" fillId="0" borderId="34" xfId="0" applyNumberFormat="1" applyFont="1" applyBorder="1" applyAlignment="1">
      <alignment vertical="bottom"/>
    </xf>
    <xf numFmtId="0" fontId="2" fillId="0" borderId="33" xfId="0" applyNumberFormat="1" applyFont="1" applyBorder="1" applyAlignment="1">
      <alignment vertical="bottom"/>
    </xf>
    <xf numFmtId="168" fontId="2" fillId="0" borderId="23" xfId="0" applyNumberFormat="1" applyFont="1" applyBorder="1" applyAlignment="1">
      <alignment vertical="bottom"/>
    </xf>
    <xf numFmtId="169" fontId="2" fillId="0" borderId="35" xfId="0" applyNumberFormat="1" applyFont="1" applyBorder="1" applyAlignment="1">
      <alignment vertical="bottom"/>
    </xf>
    <xf numFmtId="0" fontId="2" fillId="0" borderId="35" xfId="0" applyFont="1" applyBorder="1" applyAlignment="1">
      <alignment vertical="bottom"/>
    </xf>
    <xf numFmtId="168" fontId="2" fillId="0" borderId="35" xfId="0" applyNumberFormat="1" applyFont="1" applyBorder="1" applyAlignment="1">
      <alignment vertical="bottom"/>
    </xf>
    <xf numFmtId="168" fontId="2" fillId="0" borderId="36" xfId="0" applyNumberFormat="1" applyFont="1" applyBorder="1" applyAlignment="1">
      <alignment vertical="bottom"/>
    </xf>
    <xf numFmtId="168" fontId="2" fillId="0" borderId="5" xfId="0" applyNumberFormat="1" applyFont="1" applyBorder="1" applyAlignment="1">
      <alignment vertical="bottom"/>
    </xf>
    <xf numFmtId="168" fontId="2" fillId="0" borderId="37" xfId="0" applyNumberFormat="1" applyFont="1" applyBorder="1" applyAlignment="1">
      <alignment vertical="bottom"/>
    </xf>
    <xf numFmtId="0" fontId="2" fillId="0" borderId="36" xfId="0" applyNumberFormat="1" applyFont="1" applyBorder="1" applyAlignment="1">
      <alignment vertical="bottom"/>
    </xf>
    <xf numFmtId="0" fontId="2" fillId="0" borderId="35" xfId="0" applyFont="1" applyBorder="1" applyAlignment="1">
      <alignment horizontal="center" vertical="bottom"/>
    </xf>
    <xf numFmtId="14" fontId="2" fillId="0" borderId="35" xfId="0" applyNumberFormat="1" applyFont="1" applyBorder="1" applyAlignment="1">
      <alignment horizontal="left" vertical="bottom"/>
    </xf>
    <xf numFmtId="0" fontId="2" fillId="0" borderId="36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bottom"/>
    </xf>
    <xf numFmtId="0" fontId="2" fillId="0" borderId="35" xfId="0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bottom"/>
    </xf>
    <xf numFmtId="14" fontId="2" fillId="0" borderId="35" xfId="0" applyNumberFormat="1" applyFont="1" applyBorder="1" applyAlignment="1">
      <alignment vertical="bottom"/>
    </xf>
    <xf numFmtId="0" fontId="2" fillId="0" borderId="38" xfId="0" applyFont="1" applyBorder="1" applyAlignment="1">
      <alignment horizontal="center" vertical="bottom"/>
    </xf>
    <xf numFmtId="169" fontId="2" fillId="0" borderId="38" xfId="0" applyNumberFormat="1" applyFont="1" applyBorder="1" applyAlignment="1">
      <alignment vertical="bottom"/>
    </xf>
    <xf numFmtId="0" fontId="2" fillId="0" borderId="38" xfId="0" applyFont="1" applyBorder="1" applyAlignment="1">
      <alignment vertical="bottom"/>
    </xf>
    <xf numFmtId="168" fontId="2" fillId="0" borderId="38" xfId="0" applyNumberFormat="1" applyFont="1" applyBorder="1" applyAlignment="1">
      <alignment vertical="bottom"/>
    </xf>
    <xf numFmtId="0" fontId="1" fillId="0" borderId="35" xfId="0" applyFont="1" applyBorder="1" applyAlignment="1">
      <alignment vertical="bottom"/>
    </xf>
    <xf numFmtId="0" fontId="1" fillId="0" borderId="38" xfId="0" applyFont="1" applyBorder="1" applyAlignment="1">
      <alignment vertical="bottom"/>
    </xf>
    <xf numFmtId="0" fontId="2" fillId="0" borderId="7" xfId="0" applyFont="1" applyBorder="1" applyAlignment="1">
      <alignment horizontal="center" vertical="bottom"/>
    </xf>
    <xf numFmtId="169" fontId="2" fillId="0" borderId="25" xfId="0" applyNumberFormat="1" applyFont="1" applyBorder="1" applyAlignment="1">
      <alignment vertical="bottom"/>
    </xf>
    <xf numFmtId="0" fontId="2" fillId="0" borderId="25" xfId="0" applyFont="1" applyBorder="1" applyAlignment="1">
      <alignment vertical="bottom"/>
    </xf>
    <xf numFmtId="168" fontId="2" fillId="0" borderId="25" xfId="0" applyNumberFormat="1" applyFont="1" applyBorder="1" applyAlignment="1">
      <alignment vertical="bottom"/>
    </xf>
    <xf numFmtId="0" fontId="1" fillId="2" borderId="39" xfId="0" applyFont="1" applyFill="1" applyBorder="1" applyAlignment="1">
      <alignment horizontal="center" vertical="bottom"/>
    </xf>
    <xf numFmtId="0" fontId="2" fillId="2" borderId="39" xfId="0" applyFont="1" applyFill="1" applyBorder="1" applyAlignment="1">
      <alignment horizontal="center" vertical="bottom"/>
    </xf>
    <xf numFmtId="0" fontId="2" fillId="2" borderId="39" xfId="0" applyFont="1" applyFill="1" applyBorder="1" applyAlignment="1">
      <alignment vertical="bottom"/>
    </xf>
    <xf numFmtId="168" fontId="1" fillId="2" borderId="39" xfId="0" applyNumberFormat="1" applyFont="1" applyFill="1" applyBorder="1" applyAlignment="1">
      <alignment vertical="bottom"/>
    </xf>
    <xf numFmtId="0" fontId="2" fillId="2" borderId="25" xfId="0" applyFont="1" applyFill="1" applyBorder="1" applyAlignment="1">
      <alignment horizontal="center" vertical="bottom"/>
    </xf>
    <xf numFmtId="0" fontId="2" fillId="2" borderId="40" xfId="0" applyNumberFormat="1" applyFont="1" applyFill="1" applyBorder="1" applyAlignment="1">
      <alignment horizontal="center" vertical="bottom"/>
    </xf>
    <xf numFmtId="0" fontId="2" fillId="2" borderId="41" xfId="0" applyFont="1" applyFill="1" applyBorder="1" applyAlignment="1">
      <alignment vertical="bottom"/>
    </xf>
    <xf numFmtId="0" fontId="2" fillId="2" borderId="40" xfId="0" applyNumberFormat="1" applyFont="1" applyFill="1" applyBorder="1" applyAlignment="1">
      <alignment vertical="bottom"/>
    </xf>
    <xf numFmtId="0" fontId="2" fillId="2" borderId="25" xfId="0" applyFont="1" applyFill="1" applyBorder="1" applyAlignment="1">
      <alignment vertical="bottom"/>
    </xf>
    <xf numFmtId="0" fontId="2" fillId="0" borderId="0" xfId="0" applyFont="1" applyAlignment="1">
      <alignment horizontal="center" vertical="bottom"/>
    </xf>
    <xf numFmtId="168" fontId="2" fillId="0" borderId="0" xfId="0" applyNumberFormat="1" applyFont="1" applyAlignment="1">
      <alignment vertical="bottom"/>
    </xf>
    <xf numFmtId="0" fontId="1" fillId="0" borderId="0" xfId="0" applyFont="1" applyAlignment="1">
      <alignment vertical="bottom"/>
    </xf>
    <xf numFmtId="0" fontId="2" fillId="0" borderId="42" xfId="0" applyFont="1" applyBorder="1" applyAlignment="1">
      <alignment vertical="bottom"/>
    </xf>
    <xf numFmtId="0" fontId="7" fillId="2" borderId="24" xfId="0" applyNumberFormat="1" applyFont="1" applyFill="1" applyBorder="1" applyAlignment="1">
      <alignment horizontal="left" vertical="bottom"/>
    </xf>
    <xf numFmtId="0" fontId="2" fillId="2" borderId="0" xfId="0" applyFont="1" applyFill="1" applyBorder="1" applyAlignment="1">
      <alignment vertical="bottom"/>
    </xf>
    <xf numFmtId="0" fontId="2" fillId="2" borderId="43" xfId="0" applyFont="1" applyFill="1" applyBorder="1" applyAlignment="1">
      <alignment vertical="bottom"/>
    </xf>
    <xf numFmtId="167" fontId="2" fillId="2" borderId="43" xfId="5" applyNumberFormat="1" applyFont="1" applyFill="1" applyBorder="1" applyAlignment="1">
      <alignment vertical="bottom"/>
    </xf>
    <xf numFmtId="167" fontId="2" fillId="2" borderId="44" xfId="5" applyNumberFormat="1" applyFont="1" applyFill="1" applyBorder="1" applyAlignment="1">
      <alignment vertical="bottom"/>
    </xf>
    <xf numFmtId="0" fontId="1" fillId="2" borderId="45" xfId="0" applyFont="1" applyFill="1" applyBorder="1" applyAlignment="1">
      <alignment vertical="bottom"/>
    </xf>
    <xf numFmtId="0" fontId="1" fillId="2" borderId="0" xfId="0" applyFont="1" applyFill="1" applyBorder="1" applyAlignment="1">
      <alignment vertical="bottom"/>
    </xf>
    <xf numFmtId="167" fontId="1" fillId="2" borderId="0" xfId="5" applyNumberFormat="1" applyFont="1" applyFill="1" applyBorder="1" applyAlignment="1">
      <alignment vertical="bottom"/>
    </xf>
    <xf numFmtId="167" fontId="2" fillId="2" borderId="0" xfId="5" applyNumberFormat="1" applyFont="1" applyFill="1" applyBorder="1" applyAlignment="1">
      <alignment vertical="bottom"/>
    </xf>
    <xf numFmtId="167" fontId="2" fillId="2" borderId="46" xfId="5" applyNumberFormat="1" applyFont="1" applyFill="1" applyBorder="1" applyAlignment="1">
      <alignment vertical="bottom"/>
    </xf>
    <xf numFmtId="0" fontId="2" fillId="2" borderId="26" xfId="0" applyFont="1" applyFill="1" applyBorder="1" applyAlignment="1">
      <alignment vertical="bottom"/>
    </xf>
    <xf numFmtId="0" fontId="2" fillId="2" borderId="42" xfId="0" applyFont="1" applyFill="1" applyBorder="1" applyAlignment="1">
      <alignment vertical="bottom"/>
    </xf>
    <xf numFmtId="167" fontId="2" fillId="2" borderId="42" xfId="5" applyNumberFormat="1" applyFont="1" applyFill="1" applyBorder="1" applyAlignment="1">
      <alignment vertical="bottom"/>
    </xf>
    <xf numFmtId="167" fontId="2" fillId="2" borderId="28" xfId="5" applyNumberFormat="1" applyFont="1" applyFill="1" applyBorder="1" applyAlignment="1">
      <alignment vertical="bottom"/>
    </xf>
    <xf numFmtId="0" fontId="1" fillId="0" borderId="10" xfId="0" applyFont="1" applyBorder="1" applyAlignment="1">
      <alignment horizontal="center" vertical="center"/>
    </xf>
    <xf numFmtId="167" fontId="1" fillId="0" borderId="10" xfId="5" applyNumberFormat="1" applyFont="1" applyBorder="1" applyAlignment="1">
      <alignment horizontal="center" vertical="center"/>
    </xf>
    <xf numFmtId="167" fontId="1" fillId="0" borderId="10" xfId="5" applyNumberFormat="1" applyFont="1" applyBorder="1" applyAlignment="1">
      <alignment horizontal="center" vertical="center"/>
    </xf>
    <xf numFmtId="169" fontId="8" fillId="0" borderId="10" xfId="0" applyNumberFormat="1" applyFont="1" applyBorder="1" applyAlignment="1">
      <alignment vertical="bottom"/>
    </xf>
    <xf numFmtId="0" fontId="8" fillId="0" borderId="10" xfId="0" applyFont="1" applyBorder="1" applyAlignment="1">
      <alignment vertical="bottom"/>
    </xf>
    <xf numFmtId="167" fontId="8" fillId="0" borderId="10" xfId="5" applyNumberFormat="1" applyFont="1" applyBorder="1" applyAlignment="1">
      <alignment vertical="bottom"/>
    </xf>
    <xf numFmtId="170" fontId="8" fillId="0" borderId="10" xfId="0" applyNumberFormat="1" applyFont="1" applyBorder="1" applyAlignment="1">
      <alignment vertical="bottom"/>
    </xf>
    <xf numFmtId="166" fontId="8" fillId="0" borderId="10" xfId="5" applyFont="1" applyBorder="1" applyAlignment="1">
      <alignment vertical="bottom"/>
    </xf>
    <xf numFmtId="0" fontId="9" fillId="0" borderId="24" xfId="0" applyFont="1" applyBorder="1" applyAlignment="1">
      <alignment vertical="bottom"/>
    </xf>
    <xf numFmtId="0" fontId="2" fillId="0" borderId="43" xfId="0" applyFont="1" applyBorder="1" applyAlignment="1">
      <alignment vertical="bottom"/>
    </xf>
    <xf numFmtId="0" fontId="2" fillId="0" borderId="44" xfId="0" applyFont="1" applyBorder="1" applyAlignment="1">
      <alignment vertical="bottom"/>
    </xf>
    <xf numFmtId="0" fontId="1" fillId="0" borderId="45" xfId="0" applyFont="1" applyBorder="1" applyAlignment="1">
      <alignment vertical="bottom"/>
    </xf>
    <xf numFmtId="0" fontId="2" fillId="0" borderId="0" xfId="0" applyFont="1" applyBorder="1" applyAlignment="1">
      <alignment vertical="bottom"/>
    </xf>
    <xf numFmtId="0" fontId="2" fillId="0" borderId="46" xfId="0" applyFont="1" applyBorder="1" applyAlignment="1">
      <alignment vertical="bottom"/>
    </xf>
    <xf numFmtId="0" fontId="2" fillId="0" borderId="26" xfId="0" applyFont="1" applyBorder="1" applyAlignment="1">
      <alignment vertical="bottom"/>
    </xf>
    <xf numFmtId="0" fontId="2" fillId="0" borderId="42" xfId="0" applyFont="1" applyBorder="1" applyAlignment="1">
      <alignment vertical="bottom"/>
    </xf>
    <xf numFmtId="0" fontId="2" fillId="0" borderId="28" xfId="0" applyFont="1" applyBorder="1" applyAlignment="1">
      <alignment vertical="bottom"/>
    </xf>
    <xf numFmtId="0" fontId="2" fillId="2" borderId="4" xfId="0" applyFont="1" applyFill="1" applyBorder="1" applyAlignment="1">
      <alignment vertical="bottom"/>
    </xf>
    <xf numFmtId="167" fontId="2" fillId="2" borderId="43" xfId="6" applyNumberFormat="1" applyFont="1" applyFill="1" applyBorder="1" applyAlignment="1">
      <alignment vertical="bottom"/>
    </xf>
    <xf numFmtId="167" fontId="2" fillId="2" borderId="44" xfId="6" applyNumberFormat="1" applyFont="1" applyFill="1" applyBorder="1" applyAlignment="1">
      <alignment vertical="bottom"/>
    </xf>
    <xf numFmtId="167" fontId="1" fillId="2" borderId="0" xfId="6" applyNumberFormat="1" applyFont="1" applyFill="1" applyBorder="1" applyAlignment="1">
      <alignment vertical="bottom"/>
    </xf>
    <xf numFmtId="167" fontId="2" fillId="2" borderId="0" xfId="6" applyNumberFormat="1" applyFont="1" applyFill="1" applyBorder="1" applyAlignment="1">
      <alignment vertical="bottom"/>
    </xf>
    <xf numFmtId="167" fontId="2" fillId="2" borderId="46" xfId="6" applyNumberFormat="1" applyFont="1" applyFill="1" applyBorder="1" applyAlignment="1">
      <alignment vertical="bottom"/>
    </xf>
    <xf numFmtId="0" fontId="2" fillId="2" borderId="45" xfId="0" applyFont="1" applyFill="1" applyBorder="1" applyAlignment="1">
      <alignment vertical="bottom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7" fontId="1" fillId="0" borderId="2" xfId="6" applyNumberFormat="1" applyFont="1" applyBorder="1" applyAlignment="1">
      <alignment horizontal="center" vertical="center"/>
    </xf>
    <xf numFmtId="167" fontId="1" fillId="0" borderId="3" xfId="6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7" fontId="1" fillId="0" borderId="8" xfId="6" applyNumberFormat="1" applyFont="1" applyBorder="1" applyAlignment="1">
      <alignment horizontal="center" vertical="center"/>
    </xf>
    <xf numFmtId="167" fontId="1" fillId="0" borderId="8" xfId="6" applyNumberFormat="1" applyFont="1" applyBorder="1" applyAlignment="1">
      <alignment horizontal="center" vertical="center"/>
    </xf>
    <xf numFmtId="167" fontId="1" fillId="0" borderId="9" xfId="6" applyNumberFormat="1" applyFont="1" applyBorder="1" applyAlignment="1">
      <alignment horizontal="center" vertical="center"/>
    </xf>
    <xf numFmtId="169" fontId="8" fillId="0" borderId="16" xfId="0" applyNumberFormat="1" applyFont="1" applyBorder="1" applyAlignment="1">
      <alignment vertical="bottom"/>
    </xf>
    <xf numFmtId="0" fontId="8" fillId="0" borderId="17" xfId="0" applyFont="1" applyBorder="1" applyAlignment="1">
      <alignment vertical="bottom"/>
    </xf>
    <xf numFmtId="167" fontId="8" fillId="0" borderId="17" xfId="6" applyNumberFormat="1" applyFont="1" applyBorder="1" applyAlignment="1">
      <alignment vertical="bottom"/>
    </xf>
    <xf numFmtId="167" fontId="8" fillId="0" borderId="18" xfId="6" applyNumberFormat="1" applyFont="1" applyBorder="1" applyAlignment="1">
      <alignment vertical="bottom"/>
    </xf>
    <xf numFmtId="169" fontId="8" fillId="0" borderId="4" xfId="0" applyNumberFormat="1" applyFont="1" applyBorder="1" applyAlignment="1">
      <alignment vertical="bottom"/>
    </xf>
    <xf numFmtId="0" fontId="8" fillId="0" borderId="5" xfId="0" applyFont="1" applyBorder="1" applyAlignment="1">
      <alignment vertical="bottom"/>
    </xf>
    <xf numFmtId="167" fontId="8" fillId="0" borderId="5" xfId="6" applyNumberFormat="1" applyFont="1" applyBorder="1" applyAlignment="1">
      <alignment vertical="bottom"/>
    </xf>
    <xf numFmtId="167" fontId="8" fillId="0" borderId="6" xfId="6" applyNumberFormat="1" applyFont="1" applyBorder="1" applyAlignment="1">
      <alignment vertical="bottom"/>
    </xf>
    <xf numFmtId="170" fontId="10" fillId="0" borderId="7" xfId="0" applyNumberFormat="1" applyFont="1" applyBorder="1" applyAlignment="1">
      <alignment vertical="bottom"/>
    </xf>
    <xf numFmtId="0" fontId="10" fillId="0" borderId="8" xfId="0" applyFont="1" applyBorder="1" applyAlignment="1">
      <alignment vertical="bottom"/>
    </xf>
    <xf numFmtId="0" fontId="8" fillId="0" borderId="8" xfId="0" applyFont="1" applyBorder="1" applyAlignment="1">
      <alignment vertical="bottom"/>
    </xf>
    <xf numFmtId="166" fontId="8" fillId="0" borderId="8" xfId="6" applyFont="1" applyBorder="1" applyAlignment="1">
      <alignment vertical="bottom"/>
    </xf>
    <xf numFmtId="167" fontId="8" fillId="0" borderId="8" xfId="6" applyNumberFormat="1" applyFont="1" applyBorder="1" applyAlignment="1">
      <alignment vertical="bottom"/>
    </xf>
    <xf numFmtId="167" fontId="8" fillId="0" borderId="9" xfId="6" applyNumberFormat="1" applyFont="1" applyBorder="1" applyAlignment="1">
      <alignment vertical="bottom"/>
    </xf>
    <xf numFmtId="0" fontId="9" fillId="2" borderId="24" xfId="0" applyFont="1" applyFill="1" applyBorder="1" applyAlignment="1">
      <alignment vertical="bottom"/>
    </xf>
    <xf numFmtId="0" fontId="2" fillId="2" borderId="44" xfId="0" applyFont="1" applyFill="1" applyBorder="1" applyAlignment="1">
      <alignment vertical="bottom"/>
    </xf>
    <xf numFmtId="0" fontId="2" fillId="2" borderId="46" xfId="0" applyFont="1" applyFill="1" applyBorder="1" applyAlignment="1">
      <alignment vertical="bottom"/>
    </xf>
    <xf numFmtId="0" fontId="2" fillId="2" borderId="28" xfId="0" applyFont="1" applyFill="1" applyBorder="1" applyAlignment="1">
      <alignment vertical="bottom"/>
    </xf>
    <xf numFmtId="0" fontId="7" fillId="0" borderId="24" xfId="0" applyNumberFormat="1" applyFont="1" applyFill="1" applyBorder="1" applyAlignment="1">
      <alignment horizontal="left" vertical="bottom"/>
    </xf>
    <xf numFmtId="0" fontId="2" fillId="0" borderId="4" xfId="0" applyFont="1" applyBorder="1" applyAlignment="1">
      <alignment vertical="bottom"/>
    </xf>
    <xf numFmtId="167" fontId="2" fillId="0" borderId="43" xfId="6" applyNumberFormat="1" applyFont="1" applyBorder="1" applyAlignment="1">
      <alignment vertical="bottom"/>
    </xf>
    <xf numFmtId="167" fontId="2" fillId="0" borderId="44" xfId="6" applyNumberFormat="1" applyFont="1" applyBorder="1" applyAlignment="1">
      <alignment vertical="bottom"/>
    </xf>
    <xf numFmtId="0" fontId="1" fillId="0" borderId="0" xfId="0" applyFont="1" applyBorder="1" applyAlignment="1">
      <alignment vertical="bottom"/>
    </xf>
    <xf numFmtId="167" fontId="1" fillId="0" borderId="0" xfId="6" applyNumberFormat="1" applyFont="1" applyBorder="1" applyAlignment="1">
      <alignment vertical="bottom"/>
    </xf>
    <xf numFmtId="167" fontId="2" fillId="0" borderId="0" xfId="6" applyNumberFormat="1" applyFont="1" applyBorder="1" applyAlignment="1">
      <alignment vertical="bottom"/>
    </xf>
    <xf numFmtId="167" fontId="2" fillId="0" borderId="46" xfId="6" applyNumberFormat="1" applyFont="1" applyBorder="1" applyAlignment="1">
      <alignment vertical="bottom"/>
    </xf>
    <xf numFmtId="0" fontId="2" fillId="0" borderId="45" xfId="0" applyFont="1" applyBorder="1" applyAlignment="1">
      <alignment vertical="bottom"/>
    </xf>
    <xf numFmtId="0" fontId="7" fillId="2" borderId="24" xfId="0" applyFont="1" applyFill="1" applyBorder="1" applyAlignment="1">
      <alignment vertical="bottom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ill="1">
      <alignment vertical="center"/>
    </xf>
    <xf numFmtId="0" fontId="2" fillId="0" borderId="45" xfId="0" applyFont="1" applyBorder="1" applyAlignment="1">
      <alignment vertical="bottom"/>
    </xf>
    <xf numFmtId="0" fontId="2" fillId="0" borderId="0" xfId="0" applyFont="1" applyBorder="1" applyAlignment="1">
      <alignment vertical="bottom"/>
    </xf>
    <xf numFmtId="0" fontId="2" fillId="0" borderId="46" xfId="0" applyFont="1" applyBorder="1" applyAlignment="1">
      <alignment vertical="bottom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vertical="bottom"/>
    </xf>
    <xf numFmtId="169" fontId="8" fillId="0" borderId="16" xfId="0" applyNumberFormat="1" applyFont="1" applyBorder="1" applyAlignment="1">
      <alignment vertical="bottom"/>
    </xf>
    <xf numFmtId="0" fontId="2" fillId="0" borderId="17" xfId="0" applyFont="1" applyBorder="1" applyAlignment="1">
      <alignment vertical="bottom"/>
    </xf>
    <xf numFmtId="0" fontId="2" fillId="0" borderId="17" xfId="0" applyFont="1" applyBorder="1" applyAlignment="1">
      <alignment vertical="bottom"/>
    </xf>
    <xf numFmtId="167" fontId="2" fillId="0" borderId="17" xfId="7" applyNumberFormat="1" applyFont="1" applyBorder="1" applyAlignment="1">
      <alignment vertical="bottom"/>
    </xf>
    <xf numFmtId="167" fontId="2" fillId="0" borderId="18" xfId="7" applyNumberFormat="1" applyFont="1" applyBorder="1" applyAlignment="1">
      <alignment vertical="bottom"/>
    </xf>
    <xf numFmtId="0" fontId="2" fillId="0" borderId="4" xfId="0" applyFont="1" applyBorder="1" applyAlignment="1">
      <alignment vertical="bottom"/>
    </xf>
    <xf numFmtId="169" fontId="8" fillId="0" borderId="4" xfId="0" applyNumberFormat="1" applyFont="1" applyBorder="1" applyAlignment="1">
      <alignment vertical="bottom"/>
    </xf>
    <xf numFmtId="0" fontId="2" fillId="0" borderId="5" xfId="0" applyFont="1" applyBorder="1" applyAlignment="1">
      <alignment horizontal="center" vertical="bottom"/>
    </xf>
    <xf numFmtId="0" fontId="2" fillId="0" borderId="5" xfId="7" applyNumberFormat="1" applyFont="1" applyBorder="1" applyAlignment="1">
      <alignment vertical="bottom"/>
    </xf>
    <xf numFmtId="167" fontId="2" fillId="0" borderId="5" xfId="7" applyNumberFormat="1" applyFont="1" applyBorder="1" applyAlignment="1">
      <alignment vertical="bottom"/>
    </xf>
    <xf numFmtId="0" fontId="2" fillId="0" borderId="5" xfId="0" applyNumberFormat="1" applyFont="1" applyBorder="1" applyAlignment="1">
      <alignment vertical="bottom"/>
    </xf>
    <xf numFmtId="0" fontId="2" fillId="0" borderId="5" xfId="0" applyFont="1" applyBorder="1" applyAlignment="1">
      <alignment vertical="bottom"/>
    </xf>
    <xf numFmtId="167" fontId="2" fillId="0" borderId="6" xfId="7" applyNumberFormat="1" applyFont="1" applyBorder="1" applyAlignment="1">
      <alignment vertical="bottom"/>
    </xf>
    <xf numFmtId="0" fontId="2" fillId="0" borderId="7" xfId="0" applyFont="1" applyBorder="1" applyAlignment="1">
      <alignment vertical="bottom"/>
    </xf>
    <xf numFmtId="0" fontId="2" fillId="0" borderId="8" xfId="0" applyFont="1" applyBorder="1" applyAlignment="1">
      <alignment vertical="bottom"/>
    </xf>
    <xf numFmtId="0" fontId="2" fillId="0" borderId="8" xfId="0" applyFont="1" applyBorder="1" applyAlignment="1">
      <alignment vertical="bottom"/>
    </xf>
    <xf numFmtId="0" fontId="2" fillId="0" borderId="9" xfId="0" applyFont="1" applyBorder="1" applyAlignment="1">
      <alignment vertical="bottom"/>
    </xf>
    <xf numFmtId="0" fontId="2" fillId="0" borderId="26" xfId="0" applyFont="1" applyBorder="1" applyAlignment="1">
      <alignment vertical="bottom"/>
    </xf>
    <xf numFmtId="0" fontId="2" fillId="0" borderId="28" xfId="0" applyFont="1" applyBorder="1" applyAlignment="1">
      <alignment vertical="bottom"/>
    </xf>
    <xf numFmtId="0" fontId="1" fillId="2" borderId="24" xfId="0" applyFont="1" applyFill="1" applyBorder="1" applyAlignment="1">
      <alignment vertical="bottom"/>
    </xf>
    <xf numFmtId="0" fontId="2" fillId="2" borderId="10" xfId="0" applyFont="1" applyFill="1" applyBorder="1" applyAlignment="1">
      <alignment horizontal="center" vertical="bottom"/>
    </xf>
    <xf numFmtId="167" fontId="1" fillId="2" borderId="0" xfId="8" applyNumberFormat="1" applyFont="1" applyFill="1" applyBorder="1" applyAlignment="1">
      <alignment vertical="bottom"/>
    </xf>
    <xf numFmtId="167" fontId="2" fillId="2" borderId="0" xfId="8" applyNumberFormat="1" applyFont="1" applyFill="1" applyBorder="1" applyAlignment="1">
      <alignment vertical="bottom"/>
    </xf>
    <xf numFmtId="167" fontId="2" fillId="2" borderId="46" xfId="8" applyNumberFormat="1" applyFont="1" applyFill="1" applyBorder="1" applyAlignment="1">
      <alignment vertical="bottom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167" fontId="1" fillId="0" borderId="48" xfId="8" applyNumberFormat="1" applyFont="1" applyBorder="1" applyAlignment="1">
      <alignment horizontal="center" vertical="center"/>
    </xf>
    <xf numFmtId="167" fontId="1" fillId="0" borderId="49" xfId="8" applyNumberFormat="1" applyFont="1" applyBorder="1" applyAlignment="1">
      <alignment horizontal="center" vertical="center"/>
    </xf>
    <xf numFmtId="167" fontId="1" fillId="0" borderId="34" xfId="8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7" fontId="1" fillId="0" borderId="27" xfId="8" applyNumberFormat="1" applyFont="1" applyBorder="1" applyAlignment="1">
      <alignment horizontal="center" vertical="center"/>
    </xf>
    <xf numFmtId="167" fontId="1" fillId="0" borderId="8" xfId="8" applyNumberFormat="1" applyFont="1" applyBorder="1" applyAlignment="1">
      <alignment horizontal="center" vertical="center"/>
    </xf>
    <xf numFmtId="167" fontId="1" fillId="0" borderId="9" xfId="8" applyNumberFormat="1" applyFont="1" applyBorder="1" applyAlignment="1">
      <alignment horizontal="center" vertical="center"/>
    </xf>
    <xf numFmtId="169" fontId="8" fillId="0" borderId="16" xfId="0" applyNumberFormat="1" applyFont="1" applyBorder="1" applyAlignment="1">
      <alignment vertical="bottom"/>
    </xf>
    <xf numFmtId="0" fontId="8" fillId="0" borderId="17" xfId="0" applyFont="1" applyBorder="1" applyAlignment="1">
      <alignment vertical="bottom"/>
    </xf>
    <xf numFmtId="0" fontId="10" fillId="0" borderId="17" xfId="0" applyFont="1" applyBorder="1" applyAlignment="1">
      <alignment vertical="bottom"/>
    </xf>
    <xf numFmtId="167" fontId="10" fillId="0" borderId="17" xfId="8" applyNumberFormat="1" applyFont="1" applyBorder="1" applyAlignment="1">
      <alignment vertical="bottom"/>
    </xf>
    <xf numFmtId="167" fontId="8" fillId="0" borderId="17" xfId="8" applyNumberFormat="1" applyFont="1" applyBorder="1" applyAlignment="1">
      <alignment vertical="bottom"/>
    </xf>
    <xf numFmtId="167" fontId="2" fillId="0" borderId="18" xfId="8" applyNumberFormat="1" applyFont="1" applyBorder="1" applyAlignment="1">
      <alignment vertical="bottom"/>
    </xf>
    <xf numFmtId="169" fontId="8" fillId="0" borderId="4" xfId="0" applyNumberFormat="1" applyFont="1" applyBorder="1" applyAlignment="1">
      <alignment vertical="bottom"/>
    </xf>
    <xf numFmtId="0" fontId="8" fillId="0" borderId="5" xfId="0" applyFont="1" applyBorder="1" applyAlignment="1">
      <alignment vertical="bottom"/>
    </xf>
    <xf numFmtId="0" fontId="10" fillId="0" borderId="5" xfId="0" applyFont="1" applyBorder="1" applyAlignment="1">
      <alignment vertical="bottom"/>
    </xf>
    <xf numFmtId="167" fontId="8" fillId="0" borderId="5" xfId="8" applyNumberFormat="1" applyFont="1" applyBorder="1" applyAlignment="1">
      <alignment vertical="bottom"/>
    </xf>
    <xf numFmtId="167" fontId="8" fillId="0" borderId="6" xfId="8" applyNumberFormat="1" applyFont="1" applyBorder="1" applyAlignment="1">
      <alignment vertical="bottom"/>
    </xf>
    <xf numFmtId="170" fontId="8" fillId="0" borderId="7" xfId="0" applyNumberFormat="1" applyFont="1" applyBorder="1" applyAlignment="1">
      <alignment vertical="bottom"/>
    </xf>
    <xf numFmtId="0" fontId="10" fillId="0" borderId="8" xfId="0" applyFont="1" applyBorder="1" applyAlignment="1">
      <alignment vertical="bottom"/>
    </xf>
    <xf numFmtId="166" fontId="10" fillId="0" borderId="8" xfId="8" applyFont="1" applyBorder="1" applyAlignment="1">
      <alignment vertical="bottom"/>
    </xf>
    <xf numFmtId="167" fontId="10" fillId="0" borderId="8" xfId="8" applyNumberFormat="1" applyFont="1" applyBorder="1" applyAlignment="1">
      <alignment vertical="bottom"/>
    </xf>
    <xf numFmtId="167" fontId="2" fillId="0" borderId="9" xfId="8" applyNumberFormat="1" applyFont="1" applyBorder="1" applyAlignment="1">
      <alignment vertical="bottom"/>
    </xf>
    <xf numFmtId="0" fontId="2" fillId="0" borderId="0" xfId="0" applyFont="1" applyAlignment="1">
      <alignment vertical="bottom"/>
    </xf>
    <xf numFmtId="0" fontId="1" fillId="2" borderId="10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horizontal="center" vertical="bottom"/>
    </xf>
    <xf numFmtId="0" fontId="11" fillId="0" borderId="0" xfId="0" applyFont="1" applyAlignment="1">
      <alignment vertical="bottom"/>
    </xf>
    <xf numFmtId="0" fontId="12" fillId="0" borderId="0" xfId="0" applyFont="1" applyAlignment="1">
      <alignment vertical="bottom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bottom"/>
    </xf>
    <xf numFmtId="0" fontId="12" fillId="0" borderId="3" xfId="0" applyFont="1" applyBorder="1" applyAlignment="1">
      <alignment horizontal="center" vertical="bottom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bottom"/>
    </xf>
    <xf numFmtId="0" fontId="12" fillId="0" borderId="9" xfId="0" applyFont="1" applyBorder="1" applyAlignment="1">
      <alignment horizontal="center" vertical="bottom"/>
    </xf>
    <xf numFmtId="0" fontId="12" fillId="0" borderId="5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bottom"/>
    </xf>
    <xf numFmtId="0" fontId="12" fillId="0" borderId="3" xfId="0" applyFont="1" applyBorder="1" applyAlignment="1">
      <alignment horizontal="center" vertical="bottom"/>
    </xf>
    <xf numFmtId="0" fontId="12" fillId="0" borderId="5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bottom"/>
    </xf>
    <xf numFmtId="0" fontId="12" fillId="0" borderId="18" xfId="0" applyFont="1" applyBorder="1" applyAlignment="1">
      <alignment horizontal="center" vertical="bottom"/>
    </xf>
    <xf numFmtId="0" fontId="11" fillId="0" borderId="5" xfId="0" applyFont="1" applyBorder="1" applyAlignment="1">
      <alignment vertical="bottom"/>
    </xf>
    <xf numFmtId="165" fontId="11" fillId="0" borderId="5" xfId="0" applyNumberFormat="1" applyFont="1" applyBorder="1" applyAlignment="1">
      <alignment vertical="bottom"/>
    </xf>
    <xf numFmtId="165" fontId="11" fillId="0" borderId="6" xfId="0" applyNumberFormat="1" applyFont="1" applyBorder="1" applyAlignment="1">
      <alignment vertical="bottom"/>
    </xf>
    <xf numFmtId="0" fontId="2" fillId="0" borderId="0" xfId="0" applyFont="1" applyBorder="1" applyAlignment="1">
      <alignment vertical="bottom"/>
    </xf>
    <xf numFmtId="0" fontId="11" fillId="0" borderId="8" xfId="0" applyFont="1" applyBorder="1" applyAlignment="1">
      <alignment vertical="bottom"/>
    </xf>
    <xf numFmtId="165" fontId="11" fillId="0" borderId="8" xfId="0" applyNumberFormat="1" applyFont="1" applyBorder="1" applyAlignment="1">
      <alignment vertical="bottom"/>
    </xf>
    <xf numFmtId="0" fontId="11" fillId="0" borderId="29" xfId="0" applyFont="1" applyBorder="1" applyAlignment="1">
      <alignment vertical="bottom"/>
    </xf>
    <xf numFmtId="0" fontId="12" fillId="0" borderId="27" xfId="0" applyFont="1" applyBorder="1" applyAlignment="1">
      <alignment horizontal="center" vertical="bottom"/>
    </xf>
    <xf numFmtId="0" fontId="11" fillId="0" borderId="27" xfId="0" applyFont="1" applyBorder="1" applyAlignment="1">
      <alignment vertical="bottom"/>
    </xf>
    <xf numFmtId="165" fontId="11" fillId="0" borderId="27" xfId="0" applyNumberFormat="1" applyFont="1" applyBorder="1" applyAlignment="1">
      <alignment vertical="bottom"/>
    </xf>
    <xf numFmtId="165" fontId="11" fillId="0" borderId="0" xfId="0" applyNumberFormat="1" applyFont="1" applyAlignment="1">
      <alignment vertical="bottom"/>
    </xf>
    <xf numFmtId="0" fontId="11" fillId="0" borderId="0" xfId="0" applyFont="1" applyBorder="1" applyAlignment="1">
      <alignment vertical="bottom"/>
    </xf>
    <xf numFmtId="0" fontId="13" fillId="0" borderId="0" xfId="0" applyFont="1" applyBorder="1" applyAlignment="1">
      <alignment horizontal="center" vertical="bottom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165" fontId="11" fillId="0" borderId="0" xfId="0" applyNumberFormat="1" applyFont="1" applyBorder="1" applyAlignment="1">
      <alignment vertical="bottom"/>
    </xf>
    <xf numFmtId="164" fontId="11" fillId="0" borderId="0" xfId="0" applyNumberFormat="1" applyFont="1" applyBorder="1" applyAlignment="1">
      <alignment vertical="bottom"/>
    </xf>
    <xf numFmtId="0" fontId="12" fillId="0" borderId="0" xfId="0" applyFont="1" applyBorder="1" applyAlignment="1">
      <alignment vertical="bottom"/>
    </xf>
    <xf numFmtId="165" fontId="12" fillId="0" borderId="0" xfId="0" applyNumberFormat="1" applyFont="1" applyBorder="1" applyAlignment="1">
      <alignment vertical="bottom"/>
    </xf>
    <xf numFmtId="164" fontId="11" fillId="0" borderId="42" xfId="0" applyNumberFormat="1" applyFont="1" applyBorder="1" applyAlignment="1">
      <alignment vertical="bottom"/>
    </xf>
    <xf numFmtId="0" fontId="12" fillId="0" borderId="0" xfId="0" applyFont="1" applyBorder="1" applyAlignment="1">
      <alignment vertical="bottom"/>
    </xf>
    <xf numFmtId="0" fontId="11" fillId="0" borderId="0" xfId="0" applyFont="1" applyBorder="1" applyAlignment="1">
      <alignment vertical="bottom"/>
    </xf>
    <xf numFmtId="164" fontId="12" fillId="0" borderId="0" xfId="0" applyNumberFormat="1" applyFont="1" applyBorder="1" applyAlignment="1">
      <alignment vertical="bottom"/>
    </xf>
    <xf numFmtId="0" fontId="12" fillId="0" borderId="0" xfId="0" applyFont="1" applyBorder="1" applyAlignment="1">
      <alignment horizontal="left" vertical="bottom"/>
    </xf>
    <xf numFmtId="164" fontId="12" fillId="0" borderId="42" xfId="0" applyNumberFormat="1" applyFont="1" applyBorder="1" applyAlignment="1">
      <alignment vertical="bottom"/>
    </xf>
    <xf numFmtId="0" fontId="12" fillId="0" borderId="0" xfId="0" applyFont="1" applyBorder="1" applyAlignment="1">
      <alignment horizontal="center" vertical="bottom"/>
    </xf>
    <xf numFmtId="164" fontId="12" fillId="0" borderId="52" xfId="0" applyNumberFormat="1" applyFont="1" applyBorder="1" applyAlignment="1">
      <alignment vertical="bottom"/>
    </xf>
    <xf numFmtId="164" fontId="12" fillId="0" borderId="0" xfId="0" applyNumberFormat="1" applyFont="1" applyBorder="1" applyAlignment="1">
      <alignment horizontal="right" vertical="bottom"/>
    </xf>
    <xf numFmtId="165" fontId="11" fillId="0" borderId="0" xfId="0" applyNumberFormat="1" applyFont="1" applyBorder="1" applyAlignment="1">
      <alignment horizontal="right" vertical="bottom"/>
    </xf>
    <xf numFmtId="164" fontId="11" fillId="0" borderId="0" xfId="0" applyNumberFormat="1" applyFont="1" applyBorder="1" applyAlignment="1">
      <alignment horizontal="right" vertical="bottom"/>
    </xf>
    <xf numFmtId="0" fontId="14" fillId="0" borderId="0" xfId="0" applyFont="1" applyBorder="1" applyAlignment="1">
      <alignment vertical="bottom"/>
    </xf>
    <xf numFmtId="164" fontId="11" fillId="0" borderId="42" xfId="0" applyNumberFormat="1" applyFont="1" applyBorder="1" applyAlignment="1">
      <alignment horizontal="right" vertical="bottom"/>
    </xf>
    <xf numFmtId="0" fontId="13" fillId="0" borderId="0" xfId="0" applyFont="1" applyBorder="1" applyAlignment="1">
      <alignment horizontal="center" vertical="bottom"/>
    </xf>
    <xf numFmtId="0" fontId="12" fillId="0" borderId="0" xfId="0" applyFont="1" applyBorder="1" applyAlignment="1">
      <alignment horizontal="center" vertical="bottom"/>
    </xf>
    <xf numFmtId="0" fontId="11" fillId="0" borderId="0" xfId="0" applyFont="1" applyBorder="1" applyAlignment="1">
      <alignment horizontal="center" vertical="bottom"/>
    </xf>
    <xf numFmtId="0" fontId="15" fillId="0" borderId="0" xfId="0" applyFont="1" applyBorder="1" applyAlignment="1">
      <alignment horizontal="center" vertical="center"/>
    </xf>
    <xf numFmtId="17" fontId="16" fillId="0" borderId="0" xfId="0" applyNumberFormat="1" applyFont="1" applyBorder="1" applyAlignment="1" quotePrefix="1">
      <alignment horizontal="center" vertical="center"/>
    </xf>
    <xf numFmtId="164" fontId="12" fillId="0" borderId="22" xfId="0" applyNumberFormat="1" applyFont="1" applyBorder="1" applyAlignment="1">
      <alignment vertical="bottom"/>
    </xf>
    <xf numFmtId="17" fontId="17" fillId="4" borderId="0" xfId="0" applyNumberFormat="1" applyFont="1" applyFill="1" applyBorder="1" applyAlignment="1" quotePrefix="1">
      <alignment horizontal="left" vertical="center"/>
    </xf>
    <xf numFmtId="0" fontId="18" fillId="4" borderId="0" xfId="0" applyFont="1" applyFill="1" applyBorder="1" applyAlignment="1">
      <alignment vertical="bottom"/>
    </xf>
    <xf numFmtId="164" fontId="13" fillId="4" borderId="0" xfId="0" applyNumberFormat="1" applyFont="1" applyFill="1" applyBorder="1" applyAlignment="1">
      <alignment vertical="bottom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bottom"/>
    </xf>
    <xf numFmtId="0" fontId="13" fillId="4" borderId="0" xfId="0" applyFont="1" applyFill="1" applyBorder="1" applyAlignment="1">
      <alignment vertical="bottom"/>
    </xf>
    <xf numFmtId="164" fontId="2" fillId="0" borderId="0" xfId="0" applyNumberFormat="1" applyFont="1" applyAlignment="1">
      <alignment vertical="bottom"/>
    </xf>
    <xf numFmtId="0" fontId="1" fillId="0" borderId="0" xfId="0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bottom"/>
    </xf>
    <xf numFmtId="164" fontId="2" fillId="0" borderId="5" xfId="0" applyNumberFormat="1" applyFont="1" applyBorder="1" applyAlignment="1">
      <alignment vertical="bottom"/>
    </xf>
    <xf numFmtId="0" fontId="1" fillId="2" borderId="5" xfId="0" applyFont="1" applyFill="1" applyBorder="1" applyAlignment="1">
      <alignment horizontal="center" vertical="bottom"/>
    </xf>
    <xf numFmtId="164" fontId="1" fillId="2" borderId="5" xfId="0" applyNumberFormat="1" applyFont="1" applyFill="1" applyBorder="1" applyAlignment="1">
      <alignment vertical="bottom"/>
    </xf>
  </cellXfs>
  <cellStyles count="9">
    <cellStyle name="常规" xfId="0" builtinId="0"/>
    <cellStyle name="Comma 2" xfId="1"/>
    <cellStyle name="Comma 5" xfId="2"/>
    <cellStyle name="Comma 7" xfId="3"/>
    <cellStyle name="Comma 8" xfId="4"/>
    <cellStyle name="Comma 9" xfId="5"/>
    <cellStyle name="Comma 10" xfId="6"/>
    <cellStyle name="Comma 11" xfId="7"/>
    <cellStyle name="Comma 12" xfId="8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www.wps.cn/officeDocument/2020/cellImage" Target="cellimages.xml"/><Relationship Id="rId15" Type="http://schemas.openxmlformats.org/officeDocument/2006/relationships/sharedStrings" Target="sharedStrings.xml"/><Relationship Id="rId16" Type="http://schemas.openxmlformats.org/officeDocument/2006/relationships/styles" Target="styles.xml"/><Relationship Id="rId17" Type="http://schemas.openxmlformats.org/officeDocument/2006/relationships/theme" Target="theme/theme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C:/Users/User/Downloads/Users/USER/Downloads/PT%2520FADALI%2520PLAK%2520TUGAS%2520MANDIRI%2520Ranik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Account"/>
      <sheetName val="MASTER BUKU BANTU"/>
      <sheetName val="JURNAL UMUM"/>
      <sheetName val="BUKU PEMBANTU PIUTANG"/>
      <sheetName val="BUKU PEMBANTU UTANG"/>
      <sheetName val="BUKU BANTU PERSEDIAAN"/>
      <sheetName val="BUKU BESAR"/>
      <sheetName val="TRIAL BALANCE"/>
      <sheetName val="LAP LABA RUGI"/>
      <sheetName val="LAP PERUBAHAN LABA DITAHAN"/>
      <sheetName val="NERACA"/>
    </sheetNames>
    <sheetDataSet>
      <sheetData sheetId="0">
        <row r="5">
          <cell r="A5">
            <v>10000.0</v>
          </cell>
          <cell r="B5" t="str">
            <v>AKTIVA</v>
          </cell>
        </row>
        <row r="6">
          <cell r="A6">
            <v>11000.0</v>
          </cell>
          <cell r="B6" t="str">
            <v>AKTIVA LANCAR</v>
          </cell>
        </row>
        <row r="7">
          <cell r="A7">
            <v>11100.0</v>
          </cell>
          <cell r="B7" t="str">
            <v>KAS</v>
          </cell>
        </row>
        <row r="8">
          <cell r="A8">
            <v>11101.0</v>
          </cell>
          <cell r="B8" t="str">
            <v>Kas di Tangan</v>
          </cell>
          <cell r="D8">
            <v>2500000.0</v>
          </cell>
        </row>
        <row r="9">
          <cell r="A9">
            <v>11102.0</v>
          </cell>
          <cell r="B9" t="str">
            <v>Kas Kecil</v>
          </cell>
          <cell r="D9">
            <v>750000.0</v>
          </cell>
        </row>
        <row r="10">
          <cell r="A10">
            <v>11200.0</v>
          </cell>
          <cell r="B10" t="str">
            <v>BANK</v>
          </cell>
        </row>
        <row r="11">
          <cell r="A11">
            <v>11201.0</v>
          </cell>
          <cell r="B11" t="str">
            <v>Bank BCA</v>
          </cell>
          <cell r="D11">
            <v>4.5E7</v>
          </cell>
        </row>
        <row r="12">
          <cell r="A12">
            <v>11202.0</v>
          </cell>
          <cell r="B12" t="str">
            <v>Bank Mandiri</v>
          </cell>
          <cell r="D12">
            <v>2.5E7</v>
          </cell>
        </row>
        <row r="13">
          <cell r="A13">
            <v>11300.0</v>
          </cell>
          <cell r="B13" t="str">
            <v>PIUTANG USAHA BERSIH</v>
          </cell>
        </row>
        <row r="14">
          <cell r="A14">
            <v>11301.0</v>
          </cell>
          <cell r="B14" t="str">
            <v>Piutang Usaha</v>
          </cell>
          <cell r="D14">
            <v>4.75E7</v>
          </cell>
        </row>
        <row r="15">
          <cell r="A15">
            <v>11302.0</v>
          </cell>
          <cell r="B15" t="str">
            <v>Cadangan Piutang Tak Tertagih</v>
          </cell>
        </row>
        <row r="16">
          <cell r="A16">
            <v>11400.0</v>
          </cell>
          <cell r="B16" t="str">
            <v>PIUTANG LAIN-LAIN</v>
          </cell>
        </row>
        <row r="17">
          <cell r="A17">
            <v>11401.0</v>
          </cell>
          <cell r="B17" t="str">
            <v>Piutang Karyawan</v>
          </cell>
        </row>
        <row r="18">
          <cell r="A18">
            <v>11500.0</v>
          </cell>
          <cell r="B18" t="str">
            <v>PERSEDIAAN BARANG DAGANG</v>
          </cell>
          <cell r="D18">
            <v>1.6638E8</v>
          </cell>
        </row>
        <row r="19">
          <cell r="A19">
            <v>11600.0</v>
          </cell>
          <cell r="B19" t="str">
            <v>PEMBAYARAN DIMUKA</v>
          </cell>
        </row>
        <row r="20">
          <cell r="A20">
            <v>11601.0</v>
          </cell>
          <cell r="B20" t="str">
            <v>PPN Masukan</v>
          </cell>
        </row>
        <row r="21">
          <cell r="A21">
            <v>11602.0</v>
          </cell>
          <cell r="B21" t="str">
            <v>Uang Muka Pembelian</v>
          </cell>
        </row>
        <row r="22">
          <cell r="A22">
            <v>12000.0</v>
          </cell>
          <cell r="B22" t="str">
            <v>AKTIVA TETAP</v>
          </cell>
        </row>
        <row r="23">
          <cell r="A23">
            <v>12100.0</v>
          </cell>
          <cell r="B23" t="str">
            <v>NILAI BUKU PERALATAN KANTOR</v>
          </cell>
        </row>
        <row r="24">
          <cell r="A24">
            <v>12101.0</v>
          </cell>
          <cell r="B24" t="str">
            <v>Peralatan Kantor</v>
          </cell>
          <cell r="D24">
            <v>2.5E7</v>
          </cell>
        </row>
        <row r="25">
          <cell r="A25">
            <v>12102.0</v>
          </cell>
          <cell r="B25" t="str">
            <v>Akumulasi Penyusutan Peralatan Kantor</v>
          </cell>
          <cell r="E25">
            <v>7500000.0</v>
          </cell>
        </row>
        <row r="26">
          <cell r="A26">
            <v>12200.0</v>
          </cell>
          <cell r="B26" t="str">
            <v>NILAI BUKU KENDARAAN</v>
          </cell>
        </row>
        <row r="27">
          <cell r="A27">
            <v>12201.0</v>
          </cell>
          <cell r="B27" t="str">
            <v>Kendaraan</v>
          </cell>
          <cell r="D27">
            <v>4.5E7</v>
          </cell>
        </row>
        <row r="28">
          <cell r="A28">
            <v>12202.0</v>
          </cell>
          <cell r="B28" t="str">
            <v>Akumulasi Penyusutan Kendaraan</v>
          </cell>
          <cell r="E28">
            <v>2.5E7</v>
          </cell>
        </row>
        <row r="29">
          <cell r="A29">
            <v>20000.0</v>
          </cell>
          <cell r="B29" t="str">
            <v>KEWAJIBAN</v>
          </cell>
        </row>
        <row r="30">
          <cell r="A30">
            <v>21000.0</v>
          </cell>
          <cell r="B30" t="str">
            <v>KEWAJIBAN LANCAR</v>
          </cell>
        </row>
        <row r="31">
          <cell r="A31">
            <v>21100.0</v>
          </cell>
          <cell r="B31" t="str">
            <v>Hutang Usaha</v>
          </cell>
          <cell r="E31">
            <v>7.5E7</v>
          </cell>
        </row>
        <row r="32">
          <cell r="A32">
            <v>21200.0</v>
          </cell>
          <cell r="B32" t="str">
            <v>Pendapatan Diterima Dimuka-Jasa Kirim</v>
          </cell>
        </row>
        <row r="33">
          <cell r="A33">
            <v>21300.0</v>
          </cell>
          <cell r="B33" t="str">
            <v>Hutang Bunga</v>
          </cell>
        </row>
        <row r="34">
          <cell r="A34">
            <v>21400.0</v>
          </cell>
          <cell r="B34" t="str">
            <v>Hutang Pajak</v>
          </cell>
        </row>
        <row r="35">
          <cell r="A35">
            <v>21401.0</v>
          </cell>
          <cell r="B35" t="str">
            <v>Utang PPH Pasal 21</v>
          </cell>
        </row>
        <row r="36">
          <cell r="A36">
            <v>21402.0</v>
          </cell>
          <cell r="B36" t="str">
            <v>Utang PPH Pasal 4</v>
          </cell>
        </row>
        <row r="37">
          <cell r="A37">
            <v>21403.0</v>
          </cell>
          <cell r="B37" t="str">
            <v>PPN Keluaran</v>
          </cell>
        </row>
        <row r="38">
          <cell r="A38">
            <v>22000.0</v>
          </cell>
          <cell r="B38" t="str">
            <v>KEWAJIBAN JANGKA PANJANG</v>
          </cell>
        </row>
        <row r="39">
          <cell r="A39">
            <v>22001.0</v>
          </cell>
          <cell r="B39" t="str">
            <v>Hutang Bank Mandiri</v>
          </cell>
          <cell r="E39">
            <v>7.5E7</v>
          </cell>
        </row>
        <row r="40">
          <cell r="A40">
            <v>30000.0</v>
          </cell>
          <cell r="B40" t="str">
            <v>EKUITAS</v>
          </cell>
        </row>
        <row r="41">
          <cell r="A41">
            <v>31000.0</v>
          </cell>
          <cell r="B41" t="str">
            <v>Modal Saham</v>
          </cell>
          <cell r="E41">
            <v>1.5E8</v>
          </cell>
        </row>
        <row r="42">
          <cell r="A42">
            <v>32000.0</v>
          </cell>
          <cell r="B42" t="str">
            <v>Laba Ditahan Periode Lalu</v>
          </cell>
          <cell r="E42">
            <v>2.463E7</v>
          </cell>
        </row>
        <row r="43">
          <cell r="A43">
            <v>33000.0</v>
          </cell>
          <cell r="B43" t="str">
            <v>Laba Ditahan Periode Berjalan</v>
          </cell>
        </row>
        <row r="44">
          <cell r="A44">
            <v>39999.0</v>
          </cell>
          <cell r="B44" t="str">
            <v>Perkiraan Penyeimbang</v>
          </cell>
        </row>
        <row r="45">
          <cell r="A45">
            <v>40000.0</v>
          </cell>
          <cell r="B45" t="str">
            <v>PENJUALAN BERSIH</v>
          </cell>
        </row>
        <row r="46">
          <cell r="A46">
            <v>41000.0</v>
          </cell>
          <cell r="B46" t="str">
            <v>Penjualan</v>
          </cell>
        </row>
        <row r="47">
          <cell r="A47">
            <v>42000.0</v>
          </cell>
          <cell r="B47" t="str">
            <v>Retur Penjualan</v>
          </cell>
        </row>
        <row r="48">
          <cell r="A48">
            <v>43000.0</v>
          </cell>
          <cell r="B48" t="str">
            <v>Potongan Penjualan</v>
          </cell>
        </row>
        <row r="49">
          <cell r="A49">
            <v>50000.0</v>
          </cell>
          <cell r="B49" t="str">
            <v>HARGA POKOK</v>
          </cell>
        </row>
        <row r="50">
          <cell r="A50">
            <v>51000.0</v>
          </cell>
          <cell r="B50" t="str">
            <v>Harga Pokok Penjualan</v>
          </cell>
        </row>
        <row r="51">
          <cell r="A51">
            <v>60000.0</v>
          </cell>
          <cell r="B51" t="str">
            <v>BEBAN USAHA</v>
          </cell>
        </row>
        <row r="52">
          <cell r="A52">
            <v>61001.0</v>
          </cell>
          <cell r="B52" t="str">
            <v>Beban Gaji Karyawan</v>
          </cell>
        </row>
        <row r="53">
          <cell r="A53">
            <v>61002.0</v>
          </cell>
          <cell r="B53" t="str">
            <v>Beban Sewa</v>
          </cell>
        </row>
        <row r="54">
          <cell r="A54">
            <v>61003.0</v>
          </cell>
          <cell r="B54" t="str">
            <v>Beban Piutang Tak Tertagih</v>
          </cell>
        </row>
        <row r="55">
          <cell r="A55">
            <v>61004.0</v>
          </cell>
          <cell r="B55" t="str">
            <v>Beban Listrik</v>
          </cell>
        </row>
        <row r="56">
          <cell r="A56">
            <v>61005.0</v>
          </cell>
          <cell r="B56" t="str">
            <v>Beban Telepon</v>
          </cell>
        </row>
        <row r="57">
          <cell r="A57">
            <v>61006.0</v>
          </cell>
          <cell r="B57" t="str">
            <v>Beban Penyusutan Peralatan Kantor</v>
          </cell>
        </row>
        <row r="58">
          <cell r="A58">
            <v>61007.0</v>
          </cell>
          <cell r="B58" t="str">
            <v>Beban Penyusutan Kendaraan</v>
          </cell>
        </row>
        <row r="59">
          <cell r="A59">
            <v>61008.0</v>
          </cell>
          <cell r="B59" t="str">
            <v>Beban Pemasaran</v>
          </cell>
        </row>
        <row r="60">
          <cell r="A60">
            <v>61009.0</v>
          </cell>
          <cell r="B60" t="str">
            <v>Beban Transportasi</v>
          </cell>
        </row>
        <row r="61">
          <cell r="A61">
            <v>61010.0</v>
          </cell>
          <cell r="B61" t="str">
            <v>Beban Perawatan AC</v>
          </cell>
        </row>
        <row r="62">
          <cell r="A62">
            <v>61011.0</v>
          </cell>
          <cell r="B62" t="str">
            <v>Beban Perlengkapan Kantor</v>
          </cell>
        </row>
        <row r="63">
          <cell r="A63">
            <v>61099.0</v>
          </cell>
          <cell r="B63" t="str">
            <v>Beban Umum Lain lain</v>
          </cell>
        </row>
        <row r="64">
          <cell r="A64">
            <v>80000.0</v>
          </cell>
          <cell r="B64" t="str">
            <v>PENDAPATAN LUAR USAHA</v>
          </cell>
        </row>
        <row r="65">
          <cell r="A65">
            <v>81001.0</v>
          </cell>
          <cell r="B65" t="str">
            <v>Laba Penjualan Aktiva Tetap</v>
          </cell>
        </row>
        <row r="66">
          <cell r="A66">
            <v>81002.0</v>
          </cell>
          <cell r="B66" t="str">
            <v>Pendapatan Jasa Giro</v>
          </cell>
        </row>
        <row r="67">
          <cell r="A67">
            <v>90000.0</v>
          </cell>
          <cell r="B67" t="str">
            <v>BEBAN LUAR USAHA</v>
          </cell>
        </row>
        <row r="68">
          <cell r="A68">
            <v>91001.0</v>
          </cell>
          <cell r="B68" t="str">
            <v>Beban Administrasi Bank</v>
          </cell>
        </row>
        <row r="69">
          <cell r="A69">
            <v>91002.0</v>
          </cell>
          <cell r="B69" t="str">
            <v>Beban Bunga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70"/>
  <sheetViews>
    <sheetView tabSelected="1" workbookViewId="0" topLeftCell="E1" zoomScale="52">
      <selection activeCell="G6" sqref="G6"/>
    </sheetView>
  </sheetViews>
  <sheetFormatPr defaultRowHeight="15.0" defaultColWidth="10"/>
  <cols>
    <col min="1" max="1" customWidth="1" width="12.5703125" style="0"/>
    <col min="2" max="2" customWidth="1" width="39.710938" style="0"/>
    <col min="4" max="4" customWidth="1" width="17.570312" style="0"/>
    <col min="5" max="5" customWidth="1" width="17.285156" style="0"/>
  </cols>
  <sheetData>
    <row r="1" spans="8:8">
      <c r="A1" s="1" t="s">
        <v>0</v>
      </c>
      <c r="B1" s="1"/>
      <c r="C1" s="1"/>
      <c r="D1" s="1"/>
      <c r="E1" s="1"/>
    </row>
    <row r="3" spans="8:8">
      <c r="A3" s="2" t="s">
        <v>37</v>
      </c>
      <c r="B3" s="3" t="s">
        <v>1</v>
      </c>
      <c r="C3" s="4" t="s">
        <v>38</v>
      </c>
      <c r="D3" s="4" t="s">
        <v>39</v>
      </c>
      <c r="E3" s="5" t="s">
        <v>40</v>
      </c>
    </row>
    <row r="4" spans="8:8">
      <c r="A4" s="6">
        <v>10000.0</v>
      </c>
      <c r="B4" s="7" t="s">
        <v>2</v>
      </c>
      <c r="C4" s="8"/>
      <c r="D4" s="9"/>
      <c r="E4" s="10"/>
    </row>
    <row r="5" spans="8:8" ht="19.25">
      <c r="A5" s="11">
        <v>11000.0</v>
      </c>
      <c r="B5" s="8" t="s">
        <v>3</v>
      </c>
      <c r="C5" s="8"/>
      <c r="D5" s="9"/>
      <c r="E5" s="10"/>
      <c r="G5" t="s">
        <v>249</v>
      </c>
    </row>
    <row r="6" spans="8:8" ht="19.25">
      <c r="A6" s="11">
        <v>11100.0</v>
      </c>
      <c r="B6" s="8" t="s">
        <v>4</v>
      </c>
      <c r="C6" s="8"/>
      <c r="D6" s="9"/>
      <c r="E6" s="10"/>
      <c r="G6" t="s">
        <v>250</v>
      </c>
    </row>
    <row r="7" spans="8:8">
      <c r="A7" s="11">
        <v>11101.0</v>
      </c>
      <c r="B7" s="8" t="s">
        <v>5</v>
      </c>
      <c r="C7" s="8"/>
      <c r="D7" s="9">
        <v>2500000.0</v>
      </c>
      <c r="E7" s="10"/>
    </row>
    <row r="8" spans="8:8">
      <c r="A8" s="11">
        <v>11102.0</v>
      </c>
      <c r="B8" s="8" t="s">
        <v>6</v>
      </c>
      <c r="C8" s="8"/>
      <c r="D8" s="9">
        <v>750000.0</v>
      </c>
      <c r="E8" s="10"/>
    </row>
    <row r="9" spans="8:8">
      <c r="A9" s="11">
        <v>11200.0</v>
      </c>
      <c r="B9" s="8" t="s">
        <v>7</v>
      </c>
      <c r="C9" s="8"/>
      <c r="D9" s="9"/>
      <c r="E9" s="10"/>
    </row>
    <row r="10" spans="8:8">
      <c r="A10" s="11">
        <v>11201.0</v>
      </c>
      <c r="B10" s="8" t="s">
        <v>8</v>
      </c>
      <c r="C10" s="8"/>
      <c r="D10" s="9">
        <v>4.5E7</v>
      </c>
      <c r="E10" s="10"/>
    </row>
    <row r="11" spans="8:8">
      <c r="A11" s="11">
        <v>11202.0</v>
      </c>
      <c r="B11" s="8" t="s">
        <v>9</v>
      </c>
      <c r="C11" s="8"/>
      <c r="D11" s="9">
        <v>2.5E7</v>
      </c>
      <c r="E11" s="10"/>
    </row>
    <row r="12" spans="8:8">
      <c r="A12" s="11">
        <v>11300.0</v>
      </c>
      <c r="B12" s="8" t="s">
        <v>10</v>
      </c>
      <c r="C12" s="8"/>
      <c r="D12" s="9"/>
      <c r="E12" s="10"/>
    </row>
    <row r="13" spans="8:8">
      <c r="A13" s="11">
        <v>11301.0</v>
      </c>
      <c r="B13" s="8" t="s">
        <v>11</v>
      </c>
      <c r="C13" s="8"/>
      <c r="D13" s="9">
        <v>4.75E7</v>
      </c>
      <c r="E13" s="10"/>
    </row>
    <row r="14" spans="8:8">
      <c r="A14" s="11">
        <v>11302.0</v>
      </c>
      <c r="B14" s="8" t="s">
        <v>12</v>
      </c>
      <c r="C14" s="8"/>
      <c r="D14" s="9"/>
      <c r="E14" s="10"/>
    </row>
    <row r="15" spans="8:8">
      <c r="A15" s="11">
        <v>11400.0</v>
      </c>
      <c r="B15" s="8" t="s">
        <v>13</v>
      </c>
      <c r="C15" s="8"/>
      <c r="D15" s="9"/>
      <c r="E15" s="10"/>
    </row>
    <row r="16" spans="8:8">
      <c r="A16" s="11">
        <v>11401.0</v>
      </c>
      <c r="B16" s="8" t="s">
        <v>14</v>
      </c>
      <c r="C16" s="8"/>
      <c r="D16" s="9"/>
      <c r="E16" s="10"/>
    </row>
    <row r="17" spans="8:8">
      <c r="A17" s="11">
        <v>11500.0</v>
      </c>
      <c r="B17" s="8" t="s">
        <v>15</v>
      </c>
      <c r="C17" s="8"/>
      <c r="D17" s="9">
        <v>1.6638E8</v>
      </c>
      <c r="E17" s="10"/>
    </row>
    <row r="18" spans="8:8">
      <c r="A18" s="11">
        <v>11600.0</v>
      </c>
      <c r="B18" s="8" t="s">
        <v>16</v>
      </c>
      <c r="C18" s="8"/>
      <c r="D18" s="9"/>
      <c r="E18" s="10"/>
    </row>
    <row r="19" spans="8:8">
      <c r="A19" s="11">
        <v>11601.0</v>
      </c>
      <c r="B19" s="8" t="s">
        <v>17</v>
      </c>
      <c r="C19" s="8"/>
      <c r="D19" s="9"/>
      <c r="E19" s="10"/>
    </row>
    <row r="20" spans="8:8">
      <c r="A20" s="11">
        <v>11602.0</v>
      </c>
      <c r="B20" s="8" t="s">
        <v>18</v>
      </c>
      <c r="C20" s="8"/>
      <c r="D20" s="9"/>
      <c r="E20" s="10"/>
    </row>
    <row r="21" spans="8:8">
      <c r="A21" s="11">
        <v>12000.0</v>
      </c>
      <c r="B21" s="8" t="s">
        <v>19</v>
      </c>
      <c r="C21" s="8"/>
      <c r="D21" s="9"/>
      <c r="E21" s="10"/>
    </row>
    <row r="22" spans="8:8">
      <c r="A22" s="11">
        <v>12100.0</v>
      </c>
      <c r="B22" s="8" t="s">
        <v>20</v>
      </c>
      <c r="C22" s="8"/>
      <c r="D22" s="9"/>
      <c r="E22" s="10"/>
    </row>
    <row r="23" spans="8:8">
      <c r="A23" s="11">
        <v>12101.0</v>
      </c>
      <c r="B23" s="8" t="s">
        <v>21</v>
      </c>
      <c r="C23" s="8"/>
      <c r="D23" s="9">
        <v>2.5E7</v>
      </c>
      <c r="E23" s="10"/>
    </row>
    <row r="24" spans="8:8">
      <c r="A24" s="11">
        <v>12102.0</v>
      </c>
      <c r="B24" s="8" t="s">
        <v>22</v>
      </c>
      <c r="C24" s="8"/>
      <c r="D24" s="9"/>
      <c r="E24" s="10">
        <v>7500000.0</v>
      </c>
    </row>
    <row r="25" spans="8:8">
      <c r="A25" s="11">
        <v>12200.0</v>
      </c>
      <c r="B25" s="8" t="s">
        <v>23</v>
      </c>
      <c r="C25" s="8"/>
      <c r="D25" s="9"/>
      <c r="E25" s="10"/>
    </row>
    <row r="26" spans="8:8">
      <c r="A26" s="11">
        <v>12201.0</v>
      </c>
      <c r="B26" s="8" t="s">
        <v>24</v>
      </c>
      <c r="C26" s="8"/>
      <c r="D26" s="9">
        <v>4.5E7</v>
      </c>
      <c r="E26" s="10"/>
    </row>
    <row r="27" spans="8:8">
      <c r="A27" s="11">
        <v>12202.0</v>
      </c>
      <c r="B27" s="8" t="s">
        <v>25</v>
      </c>
      <c r="C27" s="8"/>
      <c r="D27" s="9"/>
      <c r="E27" s="10">
        <v>2.5E7</v>
      </c>
    </row>
    <row r="28" spans="8:8">
      <c r="A28" s="6">
        <v>20000.0</v>
      </c>
      <c r="B28" s="7" t="s">
        <v>26</v>
      </c>
      <c r="C28" s="8"/>
      <c r="D28" s="9"/>
      <c r="E28" s="10"/>
    </row>
    <row r="29" spans="8:8">
      <c r="A29" s="11">
        <v>21000.0</v>
      </c>
      <c r="B29" s="8" t="s">
        <v>27</v>
      </c>
      <c r="C29" s="8"/>
      <c r="D29" s="9"/>
      <c r="E29" s="10"/>
    </row>
    <row r="30" spans="8:8">
      <c r="A30" s="11">
        <v>21100.0</v>
      </c>
      <c r="B30" s="8" t="s">
        <v>28</v>
      </c>
      <c r="C30" s="8"/>
      <c r="D30" s="9"/>
      <c r="E30" s="10">
        <v>7.5E7</v>
      </c>
    </row>
    <row r="31" spans="8:8">
      <c r="A31" s="11">
        <v>21200.0</v>
      </c>
      <c r="B31" s="8" t="s">
        <v>29</v>
      </c>
      <c r="C31" s="8"/>
      <c r="D31" s="9"/>
      <c r="E31" s="10"/>
    </row>
    <row r="32" spans="8:8">
      <c r="A32" s="11">
        <v>21300.0</v>
      </c>
      <c r="B32" s="8" t="s">
        <v>30</v>
      </c>
      <c r="C32" s="8"/>
      <c r="D32" s="9"/>
      <c r="E32" s="10"/>
    </row>
    <row r="33" spans="8:8">
      <c r="A33" s="11">
        <v>21400.0</v>
      </c>
      <c r="B33" s="8" t="s">
        <v>31</v>
      </c>
      <c r="C33" s="8"/>
      <c r="D33" s="9"/>
      <c r="E33" s="10"/>
    </row>
    <row r="34" spans="8:8">
      <c r="A34" s="11">
        <v>21401.0</v>
      </c>
      <c r="B34" s="8" t="s">
        <v>32</v>
      </c>
      <c r="C34" s="8"/>
      <c r="D34" s="9"/>
      <c r="E34" s="10"/>
    </row>
    <row r="35" spans="8:8">
      <c r="A35" s="11">
        <v>21402.0</v>
      </c>
      <c r="B35" s="8" t="s">
        <v>33</v>
      </c>
      <c r="C35" s="8"/>
      <c r="D35" s="9"/>
      <c r="E35" s="10"/>
    </row>
    <row r="36" spans="8:8">
      <c r="A36" s="11">
        <v>21403.0</v>
      </c>
      <c r="B36" s="8" t="s">
        <v>34</v>
      </c>
      <c r="C36" s="8"/>
      <c r="D36" s="9"/>
      <c r="E36" s="10"/>
    </row>
    <row r="37" spans="8:8">
      <c r="A37" s="11">
        <v>22000.0</v>
      </c>
      <c r="B37" s="8" t="s">
        <v>35</v>
      </c>
      <c r="C37" s="8"/>
      <c r="D37" s="9"/>
      <c r="E37" s="10"/>
    </row>
    <row r="38" spans="8:8">
      <c r="A38" s="11">
        <v>22001.0</v>
      </c>
      <c r="B38" s="8" t="s">
        <v>36</v>
      </c>
      <c r="C38" s="8"/>
      <c r="D38" s="9"/>
      <c r="E38" s="10">
        <v>7.5E7</v>
      </c>
    </row>
    <row r="39" spans="8:8">
      <c r="A39" s="6">
        <v>30000.0</v>
      </c>
      <c r="B39" s="7" t="s">
        <v>41</v>
      </c>
      <c r="C39" s="8"/>
      <c r="D39" s="9"/>
      <c r="E39" s="10"/>
    </row>
    <row r="40" spans="8:8">
      <c r="A40" s="11">
        <v>31000.0</v>
      </c>
      <c r="B40" s="8" t="s">
        <v>42</v>
      </c>
      <c r="C40" s="8"/>
      <c r="D40" s="9"/>
      <c r="E40" s="10">
        <v>1.5E8</v>
      </c>
    </row>
    <row r="41" spans="8:8">
      <c r="A41" s="11">
        <v>32000.0</v>
      </c>
      <c r="B41" s="8" t="s">
        <v>43</v>
      </c>
      <c r="C41" s="8"/>
      <c r="D41" s="9"/>
      <c r="E41" s="10">
        <v>2.463E7</v>
      </c>
    </row>
    <row r="42" spans="8:8">
      <c r="A42" s="11">
        <v>33000.0</v>
      </c>
      <c r="B42" s="8" t="s">
        <v>44</v>
      </c>
      <c r="C42" s="8"/>
      <c r="D42" s="9"/>
      <c r="E42" s="10"/>
    </row>
    <row r="43" spans="8:8">
      <c r="A43" s="11">
        <v>39999.0</v>
      </c>
      <c r="B43" s="8" t="s">
        <v>45</v>
      </c>
      <c r="C43" s="8"/>
      <c r="D43" s="9"/>
      <c r="E43" s="10"/>
    </row>
    <row r="44" spans="8:8" s="12" ht="15.0" customFormat="1">
      <c r="A44" s="11">
        <v>34000.0</v>
      </c>
      <c r="B44" s="8" t="s">
        <v>244</v>
      </c>
      <c r="C44" s="8"/>
      <c r="D44" s="9"/>
      <c r="E44" s="10"/>
    </row>
    <row r="45" spans="8:8">
      <c r="A45" s="6">
        <v>40000.0</v>
      </c>
      <c r="B45" s="7" t="s">
        <v>46</v>
      </c>
      <c r="C45" s="8"/>
      <c r="D45" s="9"/>
      <c r="E45" s="10"/>
    </row>
    <row r="46" spans="8:8">
      <c r="A46" s="11">
        <v>41000.0</v>
      </c>
      <c r="B46" s="8" t="s">
        <v>47</v>
      </c>
      <c r="C46" s="8"/>
      <c r="D46" s="9"/>
      <c r="E46" s="10"/>
    </row>
    <row r="47" spans="8:8">
      <c r="A47" s="11">
        <v>42000.0</v>
      </c>
      <c r="B47" s="8" t="s">
        <v>48</v>
      </c>
      <c r="C47" s="8"/>
      <c r="D47" s="9"/>
      <c r="E47" s="10"/>
    </row>
    <row r="48" spans="8:8">
      <c r="A48" s="11">
        <v>43000.0</v>
      </c>
      <c r="B48" s="8" t="s">
        <v>49</v>
      </c>
      <c r="C48" s="8"/>
      <c r="D48" s="9"/>
      <c r="E48" s="10"/>
    </row>
    <row r="49" spans="8:8">
      <c r="A49" s="6">
        <v>50000.0</v>
      </c>
      <c r="B49" s="7" t="s">
        <v>50</v>
      </c>
      <c r="C49" s="8"/>
      <c r="D49" s="9"/>
      <c r="E49" s="10"/>
    </row>
    <row r="50" spans="8:8">
      <c r="A50" s="11">
        <v>51000.0</v>
      </c>
      <c r="B50" s="8" t="s">
        <v>182</v>
      </c>
      <c r="C50" s="8"/>
      <c r="D50" s="9"/>
      <c r="E50" s="10"/>
    </row>
    <row r="51" spans="8:8">
      <c r="A51" s="6">
        <v>60000.0</v>
      </c>
      <c r="B51" s="7" t="s">
        <v>52</v>
      </c>
      <c r="C51" s="8"/>
      <c r="D51" s="9"/>
      <c r="E51" s="10"/>
    </row>
    <row r="52" spans="8:8">
      <c r="A52" s="11">
        <v>61001.0</v>
      </c>
      <c r="B52" s="8" t="s">
        <v>53</v>
      </c>
      <c r="C52" s="8"/>
      <c r="D52" s="9"/>
      <c r="E52" s="10"/>
    </row>
    <row r="53" spans="8:8">
      <c r="A53" s="11">
        <v>61002.0</v>
      </c>
      <c r="B53" s="8" t="s">
        <v>54</v>
      </c>
      <c r="C53" s="8"/>
      <c r="D53" s="9"/>
      <c r="E53" s="10"/>
    </row>
    <row r="54" spans="8:8">
      <c r="A54" s="11">
        <v>61003.0</v>
      </c>
      <c r="B54" s="8" t="s">
        <v>55</v>
      </c>
      <c r="C54" s="8"/>
      <c r="D54" s="9"/>
      <c r="E54" s="10"/>
    </row>
    <row r="55" spans="8:8">
      <c r="A55" s="11">
        <v>61004.0</v>
      </c>
      <c r="B55" s="8" t="s">
        <v>56</v>
      </c>
      <c r="C55" s="8"/>
      <c r="D55" s="9"/>
      <c r="E55" s="10"/>
    </row>
    <row r="56" spans="8:8">
      <c r="A56" s="11">
        <v>61005.0</v>
      </c>
      <c r="B56" s="8" t="s">
        <v>57</v>
      </c>
      <c r="C56" s="8"/>
      <c r="D56" s="9"/>
      <c r="E56" s="10"/>
    </row>
    <row r="57" spans="8:8">
      <c r="A57" s="11">
        <v>61006.0</v>
      </c>
      <c r="B57" s="8" t="s">
        <v>58</v>
      </c>
      <c r="C57" s="8"/>
      <c r="D57" s="9"/>
      <c r="E57" s="10"/>
    </row>
    <row r="58" spans="8:8">
      <c r="A58" s="11">
        <v>61007.0</v>
      </c>
      <c r="B58" s="8" t="s">
        <v>59</v>
      </c>
      <c r="C58" s="8"/>
      <c r="D58" s="9"/>
      <c r="E58" s="10"/>
    </row>
    <row r="59" spans="8:8">
      <c r="A59" s="11">
        <v>61008.0</v>
      </c>
      <c r="B59" s="8" t="s">
        <v>60</v>
      </c>
      <c r="C59" s="8"/>
      <c r="D59" s="9"/>
      <c r="E59" s="10"/>
    </row>
    <row r="60" spans="8:8">
      <c r="A60" s="11">
        <v>61009.0</v>
      </c>
      <c r="B60" s="8" t="s">
        <v>61</v>
      </c>
      <c r="C60" s="8"/>
      <c r="D60" s="9"/>
      <c r="E60" s="10"/>
    </row>
    <row r="61" spans="8:8">
      <c r="A61" s="11">
        <v>61010.0</v>
      </c>
      <c r="B61" s="8" t="s">
        <v>62</v>
      </c>
      <c r="C61" s="8"/>
      <c r="D61" s="9"/>
      <c r="E61" s="10"/>
    </row>
    <row r="62" spans="8:8">
      <c r="A62" s="11">
        <v>61011.0</v>
      </c>
      <c r="B62" s="8" t="s">
        <v>63</v>
      </c>
      <c r="C62" s="8"/>
      <c r="D62" s="9"/>
      <c r="E62" s="10"/>
    </row>
    <row r="63" spans="8:8">
      <c r="A63" s="11">
        <v>61099.0</v>
      </c>
      <c r="B63" s="8" t="s">
        <v>64</v>
      </c>
      <c r="C63" s="8"/>
      <c r="D63" s="9"/>
      <c r="E63" s="10"/>
    </row>
    <row r="64" spans="8:8">
      <c r="A64" s="6">
        <v>80000.0</v>
      </c>
      <c r="B64" s="7" t="s">
        <v>245</v>
      </c>
      <c r="C64" s="8"/>
      <c r="D64" s="9"/>
      <c r="E64" s="10"/>
    </row>
    <row r="65" spans="8:8">
      <c r="A65" s="11">
        <v>81001.0</v>
      </c>
      <c r="B65" s="8" t="s">
        <v>65</v>
      </c>
      <c r="C65" s="8"/>
      <c r="D65" s="9"/>
      <c r="E65" s="10"/>
    </row>
    <row r="66" spans="8:8">
      <c r="A66" s="11">
        <v>81002.0</v>
      </c>
      <c r="B66" s="8" t="s">
        <v>66</v>
      </c>
      <c r="C66" s="8"/>
      <c r="D66" s="9"/>
      <c r="E66" s="10"/>
    </row>
    <row r="67" spans="8:8">
      <c r="A67" s="6">
        <v>90000.0</v>
      </c>
      <c r="B67" s="7" t="s">
        <v>67</v>
      </c>
      <c r="C67" s="8"/>
      <c r="D67" s="9"/>
      <c r="E67" s="10"/>
    </row>
    <row r="68" spans="8:8">
      <c r="A68" s="11">
        <v>91001.0</v>
      </c>
      <c r="B68" s="8" t="s">
        <v>68</v>
      </c>
      <c r="C68" s="8"/>
      <c r="D68" s="9"/>
      <c r="E68" s="10"/>
    </row>
    <row r="69" spans="8:8">
      <c r="A69" s="11">
        <v>91002.0</v>
      </c>
      <c r="B69" s="8" t="s">
        <v>190</v>
      </c>
      <c r="C69" s="8"/>
      <c r="D69" s="9"/>
      <c r="E69" s="10"/>
    </row>
    <row r="70" spans="8:8">
      <c r="A70" s="13" t="s">
        <v>71</v>
      </c>
      <c r="B70" s="14"/>
      <c r="C70" s="15"/>
      <c r="D70" s="16">
        <f>SUM(D7:D26)</f>
        <v>3.5713E8</v>
      </c>
      <c r="E70" s="17">
        <f>SUM(E24:E41)</f>
        <v>3.5713E8</v>
      </c>
    </row>
  </sheetData>
  <mergeCells count="2">
    <mergeCell ref="A70:B70"/>
    <mergeCell ref="A1:E1"/>
  </mergeCells>
  <pageMargins left="0.7" right="0.7" top="0.75" bottom="0.75" header="0.3" footer="0.3"/>
</worksheet>
</file>

<file path=xl/worksheets/sheet10.xml><?xml version="1.0" encoding="utf-8"?>
<worksheet xmlns:r="http://schemas.openxmlformats.org/officeDocument/2006/relationships" xmlns="http://schemas.openxmlformats.org/spreadsheetml/2006/main">
  <dimension ref="B1:H11"/>
  <sheetViews>
    <sheetView workbookViewId="0">
      <selection activeCell="K22" sqref="K22"/>
    </sheetView>
  </sheetViews>
  <sheetFormatPr defaultRowHeight="15.0" defaultColWidth="10"/>
  <cols>
    <col min="2" max="2" customWidth="1" width="13.140625" style="263"/>
    <col min="3" max="3" customWidth="1" width="13.285156" style="263"/>
    <col min="4" max="4" customWidth="0" width="9.140625" style="263"/>
    <col min="5" max="5" customWidth="1" width="17.710938" style="263"/>
    <col min="6" max="6" customWidth="0" width="9.140625" style="263"/>
    <col min="7" max="7" customWidth="1" width="21.570312" style="263"/>
  </cols>
  <sheetData>
    <row r="2" spans="8:8" ht="15.75">
      <c r="B2" s="291" t="s">
        <v>69</v>
      </c>
      <c r="C2" s="291"/>
      <c r="D2" s="291"/>
      <c r="E2" s="291"/>
      <c r="F2" s="291"/>
      <c r="G2" s="291"/>
    </row>
    <row r="3" spans="8:8" ht="15.75">
      <c r="B3" s="291" t="s">
        <v>194</v>
      </c>
      <c r="C3" s="291"/>
      <c r="D3" s="291"/>
      <c r="E3" s="291"/>
      <c r="F3" s="291"/>
      <c r="G3" s="291"/>
    </row>
    <row r="4" spans="8:8" ht="15.75">
      <c r="B4" s="291" t="s">
        <v>178</v>
      </c>
      <c r="C4" s="291"/>
      <c r="D4" s="291"/>
      <c r="E4" s="291"/>
      <c r="F4" s="291"/>
      <c r="G4" s="291"/>
    </row>
    <row r="5" spans="8:8">
      <c r="B5" s="290"/>
      <c r="C5" s="290"/>
      <c r="D5" s="290"/>
      <c r="E5" s="290"/>
      <c r="F5" s="290"/>
      <c r="G5" s="290"/>
    </row>
    <row r="6" spans="8:8">
      <c r="B6" s="299" t="s">
        <v>208</v>
      </c>
      <c r="C6" s="290"/>
      <c r="D6" s="290"/>
      <c r="E6" s="294"/>
      <c r="F6" s="294"/>
      <c r="G6" s="306">
        <f>'TRIAL BALANCE'!J44</f>
        <v>2.463E7</v>
      </c>
    </row>
    <row r="7" spans="8:8">
      <c r="B7" s="290" t="s">
        <v>195</v>
      </c>
      <c r="C7" s="290"/>
      <c r="D7" s="290"/>
      <c r="E7" s="307">
        <f>'LAP LR'!H40</f>
        <v>1418250.0</v>
      </c>
      <c r="F7" s="294"/>
      <c r="G7" s="308"/>
    </row>
    <row r="8" spans="8:8">
      <c r="B8" s="290"/>
      <c r="C8" s="290"/>
      <c r="D8" s="290"/>
      <c r="E8" s="307"/>
      <c r="F8" s="294"/>
      <c r="G8" s="308"/>
    </row>
    <row r="9" spans="8:8">
      <c r="B9" s="309" t="s">
        <v>196</v>
      </c>
      <c r="C9" s="290"/>
      <c r="D9" s="290"/>
      <c r="E9" s="294"/>
      <c r="F9" s="294"/>
      <c r="G9" s="310">
        <f>SUM(E7:E8)</f>
        <v>1418250.0</v>
      </c>
    </row>
    <row r="10" spans="8:8">
      <c r="B10" s="309" t="s">
        <v>197</v>
      </c>
      <c r="C10" s="290"/>
      <c r="D10" s="290"/>
      <c r="E10" s="294"/>
      <c r="F10" s="294"/>
      <c r="G10" s="306">
        <f>G6+G9</f>
        <v>2.604825E7</v>
      </c>
    </row>
    <row r="11" spans="8:8">
      <c r="E11" s="289"/>
      <c r="F11" s="289"/>
      <c r="G11" s="289"/>
    </row>
  </sheetData>
  <mergeCells count="3">
    <mergeCell ref="B2:G2"/>
    <mergeCell ref="B3:G3"/>
    <mergeCell ref="B4:G4"/>
  </mergeCells>
  <pageMargins left="0.7" right="0.7" top="0.75" bottom="0.75" header="0.3" footer="0.3"/>
</worksheet>
</file>

<file path=xl/worksheets/sheet11.xml><?xml version="1.0" encoding="utf-8"?>
<worksheet xmlns:r="http://schemas.openxmlformats.org/officeDocument/2006/relationships" xmlns="http://schemas.openxmlformats.org/spreadsheetml/2006/main">
  <dimension ref="B1:G55"/>
  <sheetViews>
    <sheetView workbookViewId="0">
      <selection activeCell="G10" sqref="G10"/>
    </sheetView>
  </sheetViews>
  <sheetFormatPr defaultRowHeight="15.0" defaultColWidth="10"/>
  <cols>
    <col min="1" max="1" customWidth="1" width="15.5703125" style="0"/>
    <col min="2" max="2" customWidth="1" width="9.0" style="263"/>
    <col min="3" max="3" customWidth="1" width="10.285156" style="263"/>
    <col min="4" max="4" customWidth="1" width="41.285156" style="263"/>
    <col min="5" max="5" customWidth="1" width="5.8554688" style="263"/>
    <col min="6" max="6" customWidth="1" width="22.140625" style="263"/>
    <col min="7" max="7" customWidth="1" width="18.710938" style="0"/>
    <col min="8" max="8" customWidth="1" width="17.425781" style="0"/>
  </cols>
  <sheetData>
    <row r="1" spans="8:8">
      <c r="B1" s="290"/>
      <c r="C1" s="290"/>
      <c r="D1" s="290"/>
      <c r="E1" s="290"/>
      <c r="F1" s="290"/>
    </row>
    <row r="2" spans="8:8" ht="15.75">
      <c r="B2" s="291" t="s">
        <v>69</v>
      </c>
      <c r="C2" s="291"/>
      <c r="D2" s="291"/>
      <c r="E2" s="291"/>
      <c r="F2" s="291"/>
    </row>
    <row r="3" spans="8:8" ht="15.75">
      <c r="B3" s="291" t="s">
        <v>198</v>
      </c>
      <c r="C3" s="291"/>
      <c r="D3" s="291"/>
      <c r="E3" s="291"/>
      <c r="F3" s="291"/>
    </row>
    <row r="4" spans="8:8" ht="15.75">
      <c r="B4" s="291" t="s">
        <v>199</v>
      </c>
      <c r="C4" s="291"/>
      <c r="D4" s="291"/>
      <c r="E4" s="291"/>
      <c r="F4" s="291"/>
    </row>
    <row r="5" spans="8:8">
      <c r="B5" s="290"/>
      <c r="C5" s="290"/>
      <c r="D5" s="290"/>
      <c r="E5" s="290"/>
      <c r="F5" s="290"/>
    </row>
    <row r="6" spans="8:8" ht="15.75">
      <c r="B6" s="311">
        <v>10000.0</v>
      </c>
      <c r="C6" s="290" t="str">
        <f>VLOOKUP(B6,'[1]Master Account'!$A$5:$E$69,2,FALSE)</f>
        <v>AKTIVA</v>
      </c>
      <c r="D6" s="290"/>
      <c r="E6" s="312" t="s">
        <v>38</v>
      </c>
      <c r="F6" s="290"/>
    </row>
    <row r="7" spans="8:8" ht="15.75">
      <c r="B7" s="311">
        <v>11000.0</v>
      </c>
      <c r="C7" s="290" t="str">
        <f>VLOOKUP(B7,'[1]Master Account'!$A$5:$E$69,2,FALSE)</f>
        <v>AKTIVA LANCAR</v>
      </c>
      <c r="D7" s="290"/>
      <c r="E7" s="290"/>
      <c r="F7" s="290"/>
    </row>
    <row r="8" spans="8:8">
      <c r="B8" s="290"/>
      <c r="C8" s="313">
        <v>11100.0</v>
      </c>
      <c r="D8" s="290" t="s">
        <v>4</v>
      </c>
      <c r="E8" s="290"/>
      <c r="F8" s="295">
        <f>VLOOKUP(C8,'TRIAL BALANCE'!$B$7:$J$71,8,FALSE)</f>
        <v>0.0</v>
      </c>
    </row>
    <row r="9" spans="8:8">
      <c r="B9" s="290"/>
      <c r="C9" s="313">
        <v>11101.0</v>
      </c>
      <c r="D9" s="290" t="s">
        <v>5</v>
      </c>
      <c r="E9" s="290"/>
      <c r="F9" s="295">
        <f>VLOOKUP(C9,'TRIAL BALANCE'!$B$7:$J$71,8,FALSE)</f>
        <v>6.277325E7</v>
      </c>
    </row>
    <row r="10" spans="8:8">
      <c r="B10" s="290"/>
      <c r="C10" s="313">
        <v>11102.0</v>
      </c>
      <c r="D10" s="290" t="s">
        <v>6</v>
      </c>
      <c r="E10" s="290"/>
      <c r="F10" s="295">
        <f>VLOOKUP(C10,'TRIAL BALANCE'!$B$7:$J$71,8,FALSE)</f>
        <v>750000.0</v>
      </c>
    </row>
    <row r="11" spans="8:8">
      <c r="B11" s="290"/>
      <c r="C11" s="313">
        <v>11200.0</v>
      </c>
      <c r="D11" s="290" t="s">
        <v>7</v>
      </c>
      <c r="E11" s="290"/>
      <c r="F11" s="295">
        <f>VLOOKUP(C11,'TRIAL BALANCE'!$B$7:$J$71,8,FALSE)</f>
        <v>0.0</v>
      </c>
    </row>
    <row r="12" spans="8:8">
      <c r="B12" s="290"/>
      <c r="C12" s="313">
        <v>11201.0</v>
      </c>
      <c r="D12" s="290" t="s">
        <v>8</v>
      </c>
      <c r="E12" s="290"/>
      <c r="F12" s="295">
        <f>VLOOKUP(C12,'TRIAL BALANCE'!$B$7:$J$71,8,FALSE)</f>
        <v>2.1875E7</v>
      </c>
    </row>
    <row r="13" spans="8:8">
      <c r="B13" s="290"/>
      <c r="C13" s="313">
        <v>11202.0</v>
      </c>
      <c r="D13" s="290" t="s">
        <v>9</v>
      </c>
      <c r="E13" s="290"/>
      <c r="F13" s="295">
        <f>VLOOKUP(C13,'TRIAL BALANCE'!$B$7:$J$71,8,FALSE)</f>
        <v>5.35215E7</v>
      </c>
    </row>
    <row r="14" spans="8:8">
      <c r="B14" s="290"/>
      <c r="C14" s="313">
        <v>11300.0</v>
      </c>
      <c r="D14" s="290" t="s">
        <v>10</v>
      </c>
      <c r="E14" s="290"/>
      <c r="F14" s="295">
        <f>VLOOKUP(C14,'TRIAL BALANCE'!$B$7:$J$71,8,FALSE)</f>
        <v>0.0</v>
      </c>
    </row>
    <row r="15" spans="8:8">
      <c r="B15" s="290"/>
      <c r="C15" s="313">
        <v>11301.0</v>
      </c>
      <c r="D15" s="290" t="s">
        <v>11</v>
      </c>
      <c r="E15" s="290"/>
      <c r="F15" s="295">
        <f>VLOOKUP(C15,'TRIAL BALANCE'!$B$7:$J$71,8,FALSE)</f>
        <v>5.8035E7</v>
      </c>
    </row>
    <row r="16" spans="8:8">
      <c r="B16" s="290"/>
      <c r="C16" s="313">
        <v>11302.0</v>
      </c>
      <c r="D16" s="290" t="s">
        <v>12</v>
      </c>
      <c r="E16" s="290"/>
      <c r="F16" s="295">
        <f>-VLOOKUP(C16,'TRIAL BALANCE'!$B$7:$J$71,9,FALSE)</f>
        <v>-2901750.0</v>
      </c>
    </row>
    <row r="17" spans="8:8">
      <c r="B17" s="290"/>
      <c r="C17" s="313">
        <v>11400.0</v>
      </c>
      <c r="D17" s="290" t="s">
        <v>13</v>
      </c>
      <c r="E17" s="290"/>
      <c r="F17" s="295">
        <f>VLOOKUP(C17,'TRIAL BALANCE'!$B$7:$J$71,8,FALSE)</f>
        <v>0.0</v>
      </c>
    </row>
    <row r="18" spans="8:8">
      <c r="B18" s="290"/>
      <c r="C18" s="313">
        <v>11401.0</v>
      </c>
      <c r="D18" s="290" t="s">
        <v>14</v>
      </c>
      <c r="E18" s="290"/>
      <c r="F18" s="295">
        <f>VLOOKUP(C18,'TRIAL BALANCE'!$B$7:$J$71,8,FALSE)</f>
        <v>2000000.0</v>
      </c>
    </row>
    <row r="19" spans="8:8">
      <c r="B19" s="290"/>
      <c r="C19" s="313">
        <v>11500.0</v>
      </c>
      <c r="D19" s="290" t="s">
        <v>15</v>
      </c>
      <c r="E19" s="290"/>
      <c r="F19" s="295">
        <f>VLOOKUP(C19,'TRIAL BALANCE'!$B$7:$J$71,8,FALSE)</f>
        <v>7.1465E7</v>
      </c>
    </row>
    <row r="20" spans="8:8">
      <c r="B20" s="290"/>
      <c r="C20" s="313">
        <v>11600.0</v>
      </c>
      <c r="D20" s="290" t="s">
        <v>16</v>
      </c>
      <c r="E20" s="290"/>
      <c r="F20" s="295">
        <f>VLOOKUP(C20,'TRIAL BALANCE'!$B$7:$J$71,8,FALSE)</f>
        <v>0.0</v>
      </c>
    </row>
    <row r="21" spans="8:8">
      <c r="B21" s="290"/>
      <c r="C21" s="313">
        <v>11601.0</v>
      </c>
      <c r="D21" s="290" t="s">
        <v>17</v>
      </c>
      <c r="E21" s="290"/>
      <c r="F21" s="295">
        <f>VLOOKUP(C21,'TRIAL BALANCE'!$B$7:$J$71,8,FALSE)</f>
        <v>2392500.0</v>
      </c>
    </row>
    <row r="22" spans="8:8">
      <c r="B22" s="290"/>
      <c r="C22" s="313">
        <v>11602.0</v>
      </c>
      <c r="D22" s="290" t="s">
        <v>18</v>
      </c>
      <c r="E22" s="290"/>
      <c r="F22" s="298">
        <f>VLOOKUP(C22,'TRIAL BALANCE'!$B$7:$J$71,8,FALSE)</f>
        <v>0.0</v>
      </c>
    </row>
    <row r="23" spans="8:8">
      <c r="B23" s="314"/>
      <c r="C23" s="296" t="s">
        <v>200</v>
      </c>
      <c r="D23" s="290"/>
      <c r="E23" s="290"/>
      <c r="F23" s="301">
        <f>SUM(F8:F22)</f>
        <v>2.699105E8</v>
      </c>
    </row>
    <row r="24" spans="8:8">
      <c r="B24" s="313">
        <v>12000.0</v>
      </c>
      <c r="C24" s="290" t="s">
        <v>19</v>
      </c>
      <c r="D24" s="290"/>
      <c r="E24" s="290"/>
      <c r="F24" s="295"/>
    </row>
    <row r="25" spans="8:8">
      <c r="B25" s="290"/>
      <c r="C25" s="313">
        <v>12100.0</v>
      </c>
      <c r="D25" s="290" t="s">
        <v>20</v>
      </c>
      <c r="E25" s="290"/>
      <c r="F25" s="295">
        <f>VLOOKUP(C25,'TRIAL BALANCE'!$B$7:$J$71,8,FALSE)</f>
        <v>0.0</v>
      </c>
    </row>
    <row r="26" spans="8:8">
      <c r="B26" s="290"/>
      <c r="C26" s="313">
        <v>12101.0</v>
      </c>
      <c r="D26" s="290" t="s">
        <v>21</v>
      </c>
      <c r="E26" s="290"/>
      <c r="F26" s="295">
        <f>VLOOKUP(C26,'TRIAL BALANCE'!$B$7:$J$71,8,FALSE)</f>
        <v>2.5E7</v>
      </c>
    </row>
    <row r="27" spans="8:8">
      <c r="B27" s="290"/>
      <c r="C27" s="313">
        <v>12102.0</v>
      </c>
      <c r="D27" s="290" t="s">
        <v>22</v>
      </c>
      <c r="E27" s="290"/>
      <c r="F27" s="295">
        <f>-VLOOKUP(C27,'TRIAL BALANCE'!$B$7:$J$71,9,FALSE)</f>
        <v>-7900000.0</v>
      </c>
    </row>
    <row r="28" spans="8:8">
      <c r="B28" s="290"/>
      <c r="C28" s="313">
        <v>12200.0</v>
      </c>
      <c r="D28" s="290" t="s">
        <v>23</v>
      </c>
      <c r="E28" s="290"/>
      <c r="F28" s="295">
        <f>VLOOKUP(C28,'TRIAL BALANCE'!$B$7:$J$71,8,FALSE)</f>
        <v>0.0</v>
      </c>
    </row>
    <row r="29" spans="8:8">
      <c r="B29" s="290"/>
      <c r="C29" s="313">
        <v>12201.0</v>
      </c>
      <c r="D29" s="290" t="s">
        <v>24</v>
      </c>
      <c r="E29" s="290"/>
      <c r="F29" s="295">
        <f>VLOOKUP(C29,'TRIAL BALANCE'!$B$7:$J$71,8,FALSE)</f>
        <v>5.05E7</v>
      </c>
    </row>
    <row r="30" spans="8:8">
      <c r="B30" s="290"/>
      <c r="C30" s="313">
        <v>12202.0</v>
      </c>
      <c r="D30" s="290" t="s">
        <v>25</v>
      </c>
      <c r="E30" s="290"/>
      <c r="F30" s="298">
        <f>-VLOOKUP(C30,'TRIAL BALANCE'!$B$7:$J$71,9,FALSE)</f>
        <v>-2.4E7</v>
      </c>
    </row>
    <row r="31" spans="8:8">
      <c r="B31" s="315"/>
      <c r="C31" s="296" t="s">
        <v>201</v>
      </c>
      <c r="D31" s="290"/>
      <c r="E31" s="290"/>
      <c r="F31" s="316">
        <f>SUM(F25:F30)</f>
        <v>4.36E7</v>
      </c>
    </row>
    <row r="32" spans="8:8" ht="15.75">
      <c r="B32" s="317" t="s">
        <v>202</v>
      </c>
      <c r="C32" s="317"/>
      <c r="D32" s="317"/>
      <c r="E32" s="318"/>
      <c r="F32" s="319">
        <f>F23+F31</f>
        <v>3.135105E8</v>
      </c>
    </row>
    <row r="33" spans="8:8">
      <c r="B33" s="313">
        <v>20000.0</v>
      </c>
      <c r="C33" s="290" t="s">
        <v>26</v>
      </c>
      <c r="D33" s="290"/>
      <c r="E33" s="290"/>
      <c r="F33" s="295"/>
    </row>
    <row r="34" spans="8:8">
      <c r="B34" s="313">
        <v>21000.0</v>
      </c>
      <c r="C34" s="290" t="s">
        <v>27</v>
      </c>
      <c r="D34" s="290"/>
      <c r="E34" s="290"/>
      <c r="F34" s="295"/>
    </row>
    <row r="35" spans="8:8">
      <c r="B35" s="290"/>
      <c r="C35" s="313">
        <v>21100.0</v>
      </c>
      <c r="D35" s="290" t="s">
        <v>28</v>
      </c>
      <c r="E35" s="290"/>
      <c r="F35" s="295">
        <f>VLOOKUP(C35,'TRIAL BALANCE'!$B$7:$J$71,9,FALSE)</f>
        <v>4.65675E7</v>
      </c>
    </row>
    <row r="36" spans="8:8">
      <c r="B36" s="290"/>
      <c r="C36" s="313">
        <v>21200.0</v>
      </c>
      <c r="D36" s="290" t="s">
        <v>29</v>
      </c>
      <c r="E36" s="290"/>
      <c r="F36" s="295">
        <f>VLOOKUP(C36,'TRIAL BALANCE'!$B$7:$J$71,9,FALSE)</f>
        <v>200000.0</v>
      </c>
    </row>
    <row r="37" spans="8:8">
      <c r="B37" s="290"/>
      <c r="C37" s="313">
        <v>21300.0</v>
      </c>
      <c r="D37" s="290" t="s">
        <v>30</v>
      </c>
      <c r="E37" s="290"/>
      <c r="F37" s="295">
        <f>VLOOKUP(C37,'TRIAL BALANCE'!$B$7:$J$71,9,FALSE)</f>
        <v>750000.0</v>
      </c>
    </row>
    <row r="38" spans="8:8">
      <c r="B38" s="290"/>
      <c r="C38" s="313">
        <v>21400.0</v>
      </c>
      <c r="D38" s="290" t="s">
        <v>31</v>
      </c>
      <c r="E38" s="290"/>
      <c r="F38" s="295">
        <f>VLOOKUP(C38,'TRIAL BALANCE'!$B$7:$J$71,9,FALSE)</f>
        <v>0.0</v>
      </c>
    </row>
    <row r="39" spans="8:8">
      <c r="B39" s="290"/>
      <c r="C39" s="313">
        <v>21401.0</v>
      </c>
      <c r="D39" s="290" t="s">
        <v>32</v>
      </c>
      <c r="E39" s="290"/>
      <c r="F39" s="295">
        <f>VLOOKUP(C39,'TRIAL BALANCE'!$B$7:$J$71,9,FALSE)</f>
        <v>725000.0</v>
      </c>
    </row>
    <row r="40" spans="8:8">
      <c r="B40" s="290"/>
      <c r="C40" s="313">
        <v>21402.0</v>
      </c>
      <c r="D40" s="290" t="s">
        <v>33</v>
      </c>
      <c r="E40" s="290"/>
      <c r="F40" s="295">
        <f>VLOOKUP(C40,'TRIAL BALANCE'!$B$7:$J$71,9,FALSE)</f>
        <v>250000.0</v>
      </c>
    </row>
    <row r="41" spans="8:8">
      <c r="B41" s="290"/>
      <c r="C41" s="313">
        <v>21403.0</v>
      </c>
      <c r="D41" s="290" t="s">
        <v>34</v>
      </c>
      <c r="E41" s="290"/>
      <c r="F41" s="298">
        <f>VLOOKUP(C41,'TRIAL BALANCE'!$B$7:$J$71,9,FALSE)</f>
        <v>1.396975E7</v>
      </c>
    </row>
    <row r="42" spans="8:8">
      <c r="B42" s="290"/>
      <c r="C42" s="320" t="s">
        <v>203</v>
      </c>
      <c r="D42" s="320"/>
      <c r="E42" s="290"/>
      <c r="F42" s="301">
        <f>SUM(F35:F41)</f>
        <v>6.246225E7</v>
      </c>
    </row>
    <row r="43" spans="8:8" ht="15.75">
      <c r="B43" s="311">
        <v>22000.0</v>
      </c>
      <c r="C43" s="321" t="s">
        <v>35</v>
      </c>
      <c r="D43" s="290"/>
      <c r="E43" s="290"/>
      <c r="F43" s="295"/>
    </row>
    <row r="44" spans="8:8">
      <c r="B44" s="290"/>
      <c r="C44" s="313">
        <v>22001.0</v>
      </c>
      <c r="D44" s="290" t="s">
        <v>36</v>
      </c>
      <c r="E44" s="290"/>
      <c r="F44" s="295">
        <f>VLOOKUP(C44,'TRIAL BALANCE'!$B$7:$J$71,9,FALSE)</f>
        <v>7.5E7</v>
      </c>
    </row>
    <row r="45" spans="8:8">
      <c r="B45" s="290"/>
      <c r="C45" s="320" t="s">
        <v>204</v>
      </c>
      <c r="D45" s="320"/>
      <c r="E45" s="290"/>
      <c r="F45" s="303">
        <f>F44</f>
        <v>7.5E7</v>
      </c>
    </row>
    <row r="46" spans="8:8">
      <c r="B46" s="296"/>
      <c r="C46" s="296" t="s">
        <v>205</v>
      </c>
      <c r="D46" s="296"/>
      <c r="E46" s="290"/>
      <c r="F46" s="301">
        <f>F42+F45</f>
        <v>1.3746225E8</v>
      </c>
    </row>
    <row r="47" spans="8:8" ht="15.75">
      <c r="B47" s="311">
        <v>30000.0</v>
      </c>
      <c r="C47" s="321" t="s">
        <v>41</v>
      </c>
      <c r="D47" s="290"/>
      <c r="E47" s="290"/>
      <c r="F47" s="295"/>
    </row>
    <row r="48" spans="8:8">
      <c r="B48" s="290"/>
      <c r="C48" s="313">
        <v>31000.0</v>
      </c>
      <c r="D48" s="290" t="s">
        <v>42</v>
      </c>
      <c r="E48" s="290"/>
      <c r="F48" s="295">
        <f>VLOOKUP(C48,'TRIAL BALANCE'!$B$7:$J$71,9,FALSE)</f>
        <v>1.5E8</v>
      </c>
    </row>
    <row r="49" spans="8:8">
      <c r="B49" s="290"/>
      <c r="C49" s="313">
        <v>32000.0</v>
      </c>
      <c r="D49" s="290" t="s">
        <v>43</v>
      </c>
      <c r="E49" s="290"/>
      <c r="F49" s="295">
        <f>VLOOKUP(C49,'TRIAL BALANCE'!$B$7:$J$71,9,FALSE)</f>
        <v>2.463E7</v>
      </c>
    </row>
    <row r="50" spans="8:8">
      <c r="B50" s="290"/>
      <c r="C50" s="313">
        <v>33000.0</v>
      </c>
      <c r="D50" s="290" t="s">
        <v>44</v>
      </c>
      <c r="E50" s="290"/>
      <c r="F50" s="295">
        <f>'LAP LR'!H40</f>
        <v>1418250.0</v>
      </c>
    </row>
    <row r="51" spans="8:8">
      <c r="B51" s="290"/>
      <c r="C51" s="313">
        <v>39999.0</v>
      </c>
      <c r="D51" s="290" t="s">
        <v>45</v>
      </c>
      <c r="E51" s="290"/>
      <c r="F51" s="298"/>
    </row>
    <row r="52" spans="8:8">
      <c r="B52" s="299"/>
      <c r="C52" s="299" t="s">
        <v>206</v>
      </c>
      <c r="D52" s="299"/>
      <c r="E52" s="290"/>
      <c r="F52" s="303">
        <f>SUM(F48:F51)</f>
        <v>1.7604825E8</v>
      </c>
    </row>
    <row r="53" spans="8:8" ht="15.75">
      <c r="B53" s="322" t="s">
        <v>207</v>
      </c>
      <c r="C53" s="322"/>
      <c r="D53" s="322"/>
      <c r="E53" s="318"/>
      <c r="F53" s="319">
        <f>F46+F52</f>
        <v>3.135105E8</v>
      </c>
    </row>
    <row r="54" spans="8:8">
      <c r="F54" s="289"/>
    </row>
    <row r="55" spans="8:8">
      <c r="F55" s="289"/>
    </row>
  </sheetData>
  <mergeCells count="6">
    <mergeCell ref="C45:D45"/>
    <mergeCell ref="B32:D32"/>
    <mergeCell ref="C42:D42"/>
    <mergeCell ref="B2:F2"/>
    <mergeCell ref="B3:F3"/>
    <mergeCell ref="B4:F4"/>
  </mergeCells>
  <pageMargins left="0.7" right="0.7" top="0.75" bottom="0.75" header="0.3" footer="0.3"/>
</worksheet>
</file>

<file path=xl/worksheets/sheet12.xml><?xml version="1.0" encoding="utf-8"?>
<worksheet xmlns:r="http://schemas.openxmlformats.org/officeDocument/2006/relationships" xmlns="http://schemas.openxmlformats.org/spreadsheetml/2006/main">
  <dimension ref="B1:F28"/>
  <sheetViews>
    <sheetView workbookViewId="0" topLeftCell="C1" zoomScale="68">
      <selection activeCell="C6" sqref="C6"/>
    </sheetView>
  </sheetViews>
  <sheetFormatPr defaultRowHeight="15.0" defaultColWidth="10"/>
  <cols>
    <col min="2" max="2" customWidth="0" width="9.140625" style="12"/>
    <col min="3" max="3" customWidth="1" width="37.42578" style="12"/>
    <col min="4" max="4" customWidth="1" width="17.710938" style="323"/>
    <col min="5" max="5" customWidth="1" width="18.570312" style="323"/>
  </cols>
  <sheetData>
    <row r="1" spans="8:8">
      <c r="B1" s="324" t="s">
        <v>69</v>
      </c>
    </row>
    <row r="2" spans="8:8">
      <c r="B2" s="325" t="s">
        <v>240</v>
      </c>
    </row>
    <row r="3" spans="8:8">
      <c r="B3" s="325" t="s">
        <v>129</v>
      </c>
    </row>
    <row r="5" spans="8:8">
      <c r="B5" s="326" t="s">
        <v>241</v>
      </c>
      <c r="C5" s="326" t="s">
        <v>242</v>
      </c>
      <c r="D5" s="327" t="s">
        <v>39</v>
      </c>
      <c r="E5" s="327" t="s">
        <v>40</v>
      </c>
    </row>
    <row r="6" spans="8:8" ht="15.75">
      <c r="B6" s="328">
        <v>11101.0</v>
      </c>
      <c r="C6" s="8" t="str">
        <f>VLOOKUP(B6,'Master Account'!$A$4:$E$69,2,FALSE)</f>
        <v>Kas Di Tangan</v>
      </c>
      <c r="D6" s="329">
        <f>VLOOKUP(B6,'TRIAL BALANCE'!$B$7:$J$71,8,FALSE)</f>
        <v>6.277325E7</v>
      </c>
      <c r="E6" s="329"/>
    </row>
    <row r="7" spans="8:8" ht="15.75">
      <c r="B7" s="328">
        <v>11102.0</v>
      </c>
      <c r="C7" s="8" t="str">
        <f>VLOOKUP(B7,'Master Account'!$A$4:$E$69,2,FALSE)</f>
        <v>Kas Kecil</v>
      </c>
      <c r="D7" s="329">
        <f>VLOOKUP(B7,'TRIAL BALANCE'!$B$7:$J$71,8,FALSE)</f>
        <v>750000.0</v>
      </c>
      <c r="E7" s="329"/>
    </row>
    <row r="8" spans="8:8" ht="15.75">
      <c r="B8" s="328">
        <v>11201.0</v>
      </c>
      <c r="C8" s="8" t="str">
        <f>VLOOKUP(B8,'Master Account'!$A$4:$E$69,2,FALSE)</f>
        <v>Bank BCA</v>
      </c>
      <c r="D8" s="329">
        <f>VLOOKUP(B8,'TRIAL BALANCE'!$B$7:$J$71,8,FALSE)</f>
        <v>2.1875E7</v>
      </c>
      <c r="E8" s="329"/>
    </row>
    <row r="9" spans="8:8" ht="15.75">
      <c r="B9" s="328">
        <v>11202.0</v>
      </c>
      <c r="C9" s="8" t="str">
        <f>VLOOKUP(B9,'Master Account'!$A$4:$E$69,2,FALSE)</f>
        <v>Bank Mandiri</v>
      </c>
      <c r="D9" s="329">
        <f>VLOOKUP(B9,'TRIAL BALANCE'!$B$7:$J$71,8,FALSE)</f>
        <v>5.35215E7</v>
      </c>
      <c r="E9" s="329"/>
    </row>
    <row r="10" spans="8:8" ht="15.75">
      <c r="B10" s="328">
        <v>11301.0</v>
      </c>
      <c r="C10" s="8" t="str">
        <f>VLOOKUP(B10,'Master Account'!$A$4:$E$69,2,FALSE)</f>
        <v>Piutang Usaha </v>
      </c>
      <c r="D10" s="329">
        <f>VLOOKUP(B10,'TRIAL BALANCE'!$B$7:$J$71,8,FALSE)</f>
        <v>5.8035E7</v>
      </c>
      <c r="E10" s="329"/>
    </row>
    <row r="11" spans="8:8" ht="15.75">
      <c r="B11" s="328">
        <v>11302.0</v>
      </c>
      <c r="C11" s="8" t="str">
        <f>VLOOKUP(B11,'Master Account'!$A$4:$E$69,2,FALSE)</f>
        <v>Cadangan Piutang Tak Tertagih</v>
      </c>
      <c r="D11" s="329"/>
      <c r="E11" s="329">
        <f>VLOOKUP(B11,'TRIAL BALANCE'!$B$7:$J$71,9,FALSE)</f>
        <v>2901750.0</v>
      </c>
    </row>
    <row r="12" spans="8:8" ht="15.75">
      <c r="B12" s="328">
        <v>11401.0</v>
      </c>
      <c r="C12" s="8" t="str">
        <f>VLOOKUP(B12,'Master Account'!$A$4:$E$69,2,FALSE)</f>
        <v>Piutang Karyawan</v>
      </c>
      <c r="D12" s="329">
        <f>VLOOKUP(B12,'TRIAL BALANCE'!$B$7:$J$71,8,FALSE)</f>
        <v>2000000.0</v>
      </c>
      <c r="E12" s="329"/>
    </row>
    <row r="13" spans="8:8" ht="15.75">
      <c r="B13" s="328">
        <v>11500.0</v>
      </c>
      <c r="C13" s="8" t="str">
        <f>VLOOKUP(B13,'Master Account'!$A$4:$E$69,2,FALSE)</f>
        <v>PERSEDIAAN BARANG DAGANGAN</v>
      </c>
      <c r="D13" s="329">
        <f>VLOOKUP(B13,'TRIAL BALANCE'!$B$7:$J$71,8,FALSE)</f>
        <v>7.1465E7</v>
      </c>
      <c r="E13" s="329"/>
    </row>
    <row r="14" spans="8:8" ht="15.75">
      <c r="B14" s="328">
        <v>11601.0</v>
      </c>
      <c r="C14" s="8" t="str">
        <f>VLOOKUP(B14,'Master Account'!$A$4:$E$69,2,FALSE)</f>
        <v>PPN Masukan</v>
      </c>
      <c r="D14" s="329">
        <f>VLOOKUP(B14,'TRIAL BALANCE'!$B$7:$J$71,8,FALSE)</f>
        <v>2392500.0</v>
      </c>
      <c r="E14" s="329"/>
    </row>
    <row r="15" spans="8:8" ht="15.75">
      <c r="B15" s="328">
        <v>12101.0</v>
      </c>
      <c r="C15" s="8" t="str">
        <f>VLOOKUP(B15,'Master Account'!$A$4:$E$69,2,FALSE)</f>
        <v>Peralatan Kantor</v>
      </c>
      <c r="D15" s="329">
        <f>VLOOKUP(B15,'TRIAL BALANCE'!$B$7:$J$71,8,FALSE)</f>
        <v>2.5E7</v>
      </c>
      <c r="E15" s="329"/>
    </row>
    <row r="16" spans="8:8" ht="15.75">
      <c r="B16" s="328">
        <v>12102.0</v>
      </c>
      <c r="C16" s="8" t="str">
        <f>VLOOKUP(B16,'Master Account'!$A$4:$E$69,2,FALSE)</f>
        <v>Akumulasi Penyusutan Peralatan Kantor</v>
      </c>
      <c r="D16" s="329"/>
      <c r="E16" s="329">
        <f>VLOOKUP(B16,'TRIAL BALANCE'!$B$7:$J$71,9,FALSE)</f>
        <v>7900000.0</v>
      </c>
    </row>
    <row r="17" spans="8:8" ht="15.75">
      <c r="B17" s="328">
        <v>12201.0</v>
      </c>
      <c r="C17" s="8" t="str">
        <f>VLOOKUP(B17,'Master Account'!$A$4:$E$69,2,FALSE)</f>
        <v>Kendaraan</v>
      </c>
      <c r="D17" s="329">
        <f>VLOOKUP(B17,'TRIAL BALANCE'!$B$7:$J$71,8,FALSE)</f>
        <v>5.05E7</v>
      </c>
      <c r="E17" s="329"/>
    </row>
    <row r="18" spans="8:8" ht="15.75">
      <c r="B18" s="328">
        <v>12202.0</v>
      </c>
      <c r="C18" s="8" t="str">
        <f>VLOOKUP(B18,'Master Account'!$A$4:$E$69,2,FALSE)</f>
        <v>Akumulasi Penyusutan Kendaraan</v>
      </c>
      <c r="D18" s="329"/>
      <c r="E18" s="329">
        <f>VLOOKUP(B18,'TRIAL BALANCE'!$B$7:$J$71,9,FALSE)</f>
        <v>2.4E7</v>
      </c>
    </row>
    <row r="19" spans="8:8" ht="15.75">
      <c r="B19" s="328">
        <v>21100.0</v>
      </c>
      <c r="C19" s="8" t="str">
        <f>VLOOKUP(B19,'Master Account'!$A$4:$E$69,2,FALSE)</f>
        <v>Hutang Usaha</v>
      </c>
      <c r="D19" s="329"/>
      <c r="E19" s="329">
        <f>VLOOKUP(B19,'TRIAL BALANCE'!$B$7:$J$71,9,FALSE)</f>
        <v>4.65675E7</v>
      </c>
    </row>
    <row r="20" spans="8:8" ht="15.75">
      <c r="B20" s="328">
        <v>21200.0</v>
      </c>
      <c r="C20" s="8" t="str">
        <f>VLOOKUP(B20,'Master Account'!$A$4:$E$69,2,FALSE)</f>
        <v>Pendapatan Diterima Dimuka-Jasa Kirim</v>
      </c>
      <c r="D20" s="329"/>
      <c r="E20" s="329">
        <f>VLOOKUP(B20,'TRIAL BALANCE'!$B$7:$J$71,9,FALSE)</f>
        <v>200000.0</v>
      </c>
    </row>
    <row r="21" spans="8:8" ht="15.75">
      <c r="B21" s="328">
        <v>21300.0</v>
      </c>
      <c r="C21" s="8" t="str">
        <f>VLOOKUP(B21,'Master Account'!$A$4:$E$69,2,FALSE)</f>
        <v>Hutang Bunga</v>
      </c>
      <c r="D21" s="329"/>
      <c r="E21" s="329">
        <f>VLOOKUP(B21,'TRIAL BALANCE'!$B$7:$J$71,9,FALSE)</f>
        <v>750000.0</v>
      </c>
    </row>
    <row r="22" spans="8:8" ht="15.75">
      <c r="B22" s="328">
        <v>21401.0</v>
      </c>
      <c r="C22" s="8" t="str">
        <f>VLOOKUP(B22,'Master Account'!$A$4:$E$69,2,FALSE)</f>
        <v>Utang PPh Pasal 21</v>
      </c>
      <c r="D22" s="329"/>
      <c r="E22" s="329">
        <f>VLOOKUP(B22,'TRIAL BALANCE'!$B$7:$J$71,9,FALSE)</f>
        <v>725000.0</v>
      </c>
    </row>
    <row r="23" spans="8:8" ht="15.75">
      <c r="B23" s="328">
        <v>21402.0</v>
      </c>
      <c r="C23" s="8" t="str">
        <f>VLOOKUP(B23,'Master Account'!$A$4:$E$69,2,FALSE)</f>
        <v>Utang PPh Pasal 4</v>
      </c>
      <c r="D23" s="329"/>
      <c r="E23" s="329">
        <f>VLOOKUP(B23,'TRIAL BALANCE'!$B$7:$J$71,9,FALSE)</f>
        <v>250000.0</v>
      </c>
    </row>
    <row r="24" spans="8:8" ht="15.75">
      <c r="B24" s="328">
        <v>21403.0</v>
      </c>
      <c r="C24" s="8" t="str">
        <f>VLOOKUP(B24,'Master Account'!$A$4:$E$69,2,FALSE)</f>
        <v>PPN Keluaran </v>
      </c>
      <c r="D24" s="329"/>
      <c r="E24" s="329">
        <f>VLOOKUP(B24,'TRIAL BALANCE'!$B$7:$J$71,9,FALSE)</f>
        <v>1.396975E7</v>
      </c>
    </row>
    <row r="25" spans="8:8" ht="15.75">
      <c r="B25" s="328">
        <v>22001.0</v>
      </c>
      <c r="C25" s="8" t="str">
        <f>VLOOKUP(B25,'Master Account'!$A$4:$E$69,2,FALSE)</f>
        <v>Hutang Bank Mandiri</v>
      </c>
      <c r="D25" s="329"/>
      <c r="E25" s="329">
        <f>VLOOKUP(B25,'TRIAL BALANCE'!$B$7:$J$71,9,FALSE)</f>
        <v>7.5E7</v>
      </c>
    </row>
    <row r="26" spans="8:8" ht="15.75">
      <c r="B26" s="328">
        <v>31000.0</v>
      </c>
      <c r="C26" s="8" t="str">
        <f>VLOOKUP(B26,'Master Account'!$A$4:$E$69,2,FALSE)</f>
        <v>Modal Saham</v>
      </c>
      <c r="D26" s="329"/>
      <c r="E26" s="329">
        <f>VLOOKUP(B26,'TRIAL BALANCE'!$B$7:$J$71,9,FALSE)</f>
        <v>1.5E8</v>
      </c>
    </row>
    <row r="27" spans="8:8" ht="15.75">
      <c r="B27" s="328">
        <v>32000.0</v>
      </c>
      <c r="C27" s="8" t="str">
        <f>VLOOKUP(B27,'Master Account'!$A$4:$E$69,2,FALSE)</f>
        <v>Laba Ditahan Periode Lalu</v>
      </c>
      <c r="D27" s="329"/>
      <c r="E27" s="329">
        <f>'BUKU BESAR'!I326</f>
        <v>2.604825E7</v>
      </c>
    </row>
    <row r="28" spans="8:8">
      <c r="B28" s="330" t="s">
        <v>144</v>
      </c>
      <c r="C28" s="330"/>
      <c r="D28" s="331">
        <f>SUM(D6:D27)</f>
        <v>3.4831225E8</v>
      </c>
      <c r="E28" s="331">
        <f>SUM(E6:E27)</f>
        <v>3.4831225E8</v>
      </c>
    </row>
  </sheetData>
  <mergeCells count="1">
    <mergeCell ref="B28:C28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I37"/>
  <sheetViews>
    <sheetView workbookViewId="0" topLeftCell="A18">
      <selection activeCell="H40" sqref="H40"/>
    </sheetView>
  </sheetViews>
  <sheetFormatPr defaultRowHeight="15.0" defaultColWidth="10"/>
  <cols>
    <col min="1" max="1" customWidth="1" width="14.0" style="0"/>
    <col min="2" max="2" customWidth="1" width="24.0" style="0"/>
    <col min="4" max="4" customWidth="1" width="14.425781" style="0"/>
    <col min="5" max="5" customWidth="1" width="37.285156" style="0"/>
    <col min="7" max="7" customWidth="1" width="16.425781" style="0"/>
    <col min="8" max="8" customWidth="1" width="19.0" style="0"/>
  </cols>
  <sheetData>
    <row r="1" spans="8:8">
      <c r="A1" s="18" t="s">
        <v>72</v>
      </c>
    </row>
    <row r="3" spans="8:8" ht="16.5">
      <c r="A3" s="19" t="s">
        <v>73</v>
      </c>
      <c r="B3" s="19" t="s">
        <v>99</v>
      </c>
      <c r="C3" s="19" t="s">
        <v>96</v>
      </c>
      <c r="D3" s="19" t="s">
        <v>97</v>
      </c>
      <c r="E3" s="19" t="s">
        <v>98</v>
      </c>
      <c r="F3" s="19" t="s">
        <v>74</v>
      </c>
      <c r="G3" s="19" t="s">
        <v>75</v>
      </c>
      <c r="H3" s="19" t="s">
        <v>76</v>
      </c>
    </row>
    <row r="4" spans="8:8" ht="16.5">
      <c r="A4" s="20" t="s">
        <v>100</v>
      </c>
      <c r="B4" s="21"/>
      <c r="C4" s="22"/>
      <c r="D4" s="22"/>
      <c r="E4" s="22"/>
      <c r="F4" s="22"/>
      <c r="G4" s="22"/>
      <c r="H4" s="22"/>
    </row>
    <row r="5" spans="8:8" ht="16.5">
      <c r="A5" s="23" t="s">
        <v>77</v>
      </c>
      <c r="B5" s="24" t="s">
        <v>78</v>
      </c>
      <c r="C5" s="24" t="s">
        <v>103</v>
      </c>
      <c r="D5" s="25">
        <v>1200000.0</v>
      </c>
      <c r="E5" s="26">
        <v>1500000.0</v>
      </c>
      <c r="F5" s="27">
        <v>15.0</v>
      </c>
      <c r="G5" s="25">
        <v>1200000.0</v>
      </c>
      <c r="H5" s="28">
        <v>1.8E7</v>
      </c>
    </row>
    <row r="6" spans="8:8" ht="16.5">
      <c r="A6" s="23" t="s">
        <v>79</v>
      </c>
      <c r="B6" s="24" t="s">
        <v>80</v>
      </c>
      <c r="C6" s="24" t="s">
        <v>103</v>
      </c>
      <c r="D6" s="25">
        <v>325000.0</v>
      </c>
      <c r="E6" s="26">
        <v>375000.0</v>
      </c>
      <c r="F6" s="27">
        <v>50.0</v>
      </c>
      <c r="G6" s="25">
        <v>325000.0</v>
      </c>
      <c r="H6" s="28">
        <v>1.625E7</v>
      </c>
    </row>
    <row r="7" spans="8:8" ht="16.5">
      <c r="A7" s="23" t="s">
        <v>81</v>
      </c>
      <c r="B7" s="24" t="s">
        <v>82</v>
      </c>
      <c r="C7" s="24" t="s">
        <v>103</v>
      </c>
      <c r="D7" s="28">
        <v>1400000.0</v>
      </c>
      <c r="E7" s="26">
        <v>1750000.0</v>
      </c>
      <c r="F7" s="27">
        <v>20.0</v>
      </c>
      <c r="G7" s="28">
        <v>1400000.0</v>
      </c>
      <c r="H7" s="28">
        <v>2.8E7</v>
      </c>
    </row>
    <row r="8" spans="8:8" ht="16.5">
      <c r="A8" s="23" t="s">
        <v>83</v>
      </c>
      <c r="B8" s="24" t="s">
        <v>84</v>
      </c>
      <c r="C8" s="24" t="s">
        <v>103</v>
      </c>
      <c r="D8" s="28">
        <v>1200000.0</v>
      </c>
      <c r="E8" s="26">
        <v>1500000.0</v>
      </c>
      <c r="F8" s="27">
        <v>15.0</v>
      </c>
      <c r="G8" s="28">
        <v>1200000.0</v>
      </c>
      <c r="H8" s="28">
        <v>1.8E7</v>
      </c>
    </row>
    <row r="9" spans="8:8" ht="16.5">
      <c r="A9" s="20" t="s">
        <v>101</v>
      </c>
      <c r="B9" s="21"/>
      <c r="C9" s="24"/>
      <c r="D9" s="27"/>
      <c r="E9" s="26"/>
      <c r="F9" s="27"/>
      <c r="G9" s="28"/>
      <c r="H9" s="28"/>
    </row>
    <row r="10" spans="8:8" ht="16.5">
      <c r="A10" s="23" t="s">
        <v>85</v>
      </c>
      <c r="B10" s="24" t="s">
        <v>86</v>
      </c>
      <c r="C10" s="24" t="s">
        <v>103</v>
      </c>
      <c r="D10" s="28">
        <v>2850000.0</v>
      </c>
      <c r="E10" s="26">
        <v>3375000.0</v>
      </c>
      <c r="F10" s="27">
        <v>8.0</v>
      </c>
      <c r="G10" s="28">
        <v>2850000.0</v>
      </c>
      <c r="H10" s="28">
        <v>2.28E7</v>
      </c>
    </row>
    <row r="11" spans="8:8" ht="16.5">
      <c r="A11" s="23" t="s">
        <v>87</v>
      </c>
      <c r="B11" s="24" t="s">
        <v>88</v>
      </c>
      <c r="C11" s="24" t="s">
        <v>103</v>
      </c>
      <c r="D11" s="28">
        <v>590000.0</v>
      </c>
      <c r="E11" s="26">
        <v>750000.0</v>
      </c>
      <c r="F11" s="27">
        <v>12.0</v>
      </c>
      <c r="G11" s="28">
        <v>590000.0</v>
      </c>
      <c r="H11" s="28">
        <v>7080000.0</v>
      </c>
    </row>
    <row r="12" spans="8:8" ht="16.5">
      <c r="A12" s="20" t="s">
        <v>102</v>
      </c>
      <c r="B12" s="21"/>
      <c r="C12" s="24"/>
      <c r="D12" s="28"/>
      <c r="E12" s="26"/>
      <c r="F12" s="27"/>
      <c r="G12" s="28"/>
      <c r="H12" s="28"/>
    </row>
    <row r="13" spans="8:8" ht="16.5">
      <c r="A13" s="23" t="s">
        <v>89</v>
      </c>
      <c r="B13" s="24" t="s">
        <v>90</v>
      </c>
      <c r="C13" s="24" t="s">
        <v>103</v>
      </c>
      <c r="D13" s="28">
        <v>1300000.0</v>
      </c>
      <c r="E13" s="26">
        <v>1650000.0</v>
      </c>
      <c r="F13" s="27">
        <v>15.0</v>
      </c>
      <c r="G13" s="28">
        <v>1300000.0</v>
      </c>
      <c r="H13" s="28">
        <v>1.95E7</v>
      </c>
    </row>
    <row r="14" spans="8:8" ht="16.5">
      <c r="A14" s="23" t="s">
        <v>91</v>
      </c>
      <c r="B14" s="24" t="s">
        <v>92</v>
      </c>
      <c r="C14" s="24" t="s">
        <v>103</v>
      </c>
      <c r="D14" s="28">
        <v>1750000.0</v>
      </c>
      <c r="E14" s="26">
        <v>2100000.0</v>
      </c>
      <c r="F14" s="27">
        <v>12.0</v>
      </c>
      <c r="G14" s="28">
        <v>1750000.0</v>
      </c>
      <c r="H14" s="28">
        <v>2.1E7</v>
      </c>
    </row>
    <row r="15" spans="8:8" ht="16.5">
      <c r="A15" s="29" t="s">
        <v>93</v>
      </c>
      <c r="B15" s="30" t="s">
        <v>94</v>
      </c>
      <c r="C15" s="24" t="s">
        <v>103</v>
      </c>
      <c r="D15" s="25">
        <v>1050000.0</v>
      </c>
      <c r="E15" s="31">
        <v>1450000.0</v>
      </c>
      <c r="F15" s="32">
        <v>15.0</v>
      </c>
      <c r="G15" s="25">
        <v>1050000.0</v>
      </c>
      <c r="H15" s="28">
        <v>1.575E7</v>
      </c>
    </row>
    <row r="16" spans="8:8" ht="16.5">
      <c r="A16" s="33" t="s">
        <v>95</v>
      </c>
      <c r="B16" s="33"/>
      <c r="C16" s="19"/>
      <c r="D16" s="34"/>
      <c r="E16" s="34"/>
      <c r="F16" s="35">
        <f>SUM(F5:F15)</f>
        <v>162.0</v>
      </c>
      <c r="G16" s="35"/>
      <c r="H16" s="35">
        <f>SUM(H5:H15)</f>
        <v>1.6638E8</v>
      </c>
    </row>
    <row r="17" spans="8:8">
      <c r="D17" s="36"/>
    </row>
    <row r="18" spans="8:8">
      <c r="A18" s="37" t="s">
        <v>104</v>
      </c>
      <c r="B18" s="38"/>
      <c r="C18" s="38"/>
      <c r="D18" s="38"/>
      <c r="E18" s="39"/>
    </row>
    <row r="19" spans="8:8">
      <c r="A19" s="40" t="s">
        <v>105</v>
      </c>
      <c r="B19" s="41" t="s">
        <v>106</v>
      </c>
      <c r="C19" s="41"/>
      <c r="D19" s="41" t="s">
        <v>107</v>
      </c>
      <c r="E19" s="42" t="s">
        <v>108</v>
      </c>
    </row>
    <row r="20" spans="8:8">
      <c r="A20" s="43" t="s">
        <v>109</v>
      </c>
      <c r="B20" s="44" t="s">
        <v>110</v>
      </c>
      <c r="C20" s="44"/>
      <c r="D20" s="45">
        <v>1.0E7</v>
      </c>
      <c r="E20" s="46" t="s">
        <v>111</v>
      </c>
    </row>
    <row r="21" spans="8:8">
      <c r="A21" s="43" t="s">
        <v>112</v>
      </c>
      <c r="B21" s="44" t="s">
        <v>113</v>
      </c>
      <c r="C21" s="44"/>
      <c r="D21" s="45">
        <v>1.5E7</v>
      </c>
      <c r="E21" s="46" t="s">
        <v>111</v>
      </c>
      <c r="G21" s="47"/>
    </row>
    <row r="22" spans="8:8">
      <c r="A22" s="43" t="s">
        <v>114</v>
      </c>
      <c r="B22" s="48" t="s">
        <v>115</v>
      </c>
      <c r="C22" s="48"/>
      <c r="D22" s="49">
        <v>7500000.0</v>
      </c>
      <c r="E22" s="46" t="s">
        <v>116</v>
      </c>
    </row>
    <row r="23" spans="8:8">
      <c r="A23" s="50" t="s">
        <v>117</v>
      </c>
      <c r="B23" s="48" t="s">
        <v>118</v>
      </c>
      <c r="C23" s="48"/>
      <c r="D23" s="49">
        <v>1.5E7</v>
      </c>
      <c r="E23" s="46" t="s">
        <v>116</v>
      </c>
    </row>
    <row r="24" spans="8:8">
      <c r="A24" s="50"/>
      <c r="B24" s="48"/>
      <c r="C24" s="48"/>
      <c r="D24" s="49"/>
      <c r="E24" s="51"/>
    </row>
    <row r="25" spans="8:8">
      <c r="A25" s="50"/>
      <c r="B25" s="48"/>
      <c r="C25" s="48"/>
      <c r="D25" s="49"/>
      <c r="E25" s="51"/>
    </row>
    <row r="26" spans="8:8">
      <c r="A26" s="50"/>
      <c r="B26" s="48"/>
      <c r="C26" s="48"/>
      <c r="D26" s="49"/>
      <c r="E26" s="51"/>
    </row>
    <row r="27" spans="8:8">
      <c r="A27" s="52"/>
      <c r="B27" s="53"/>
      <c r="C27" s="53"/>
      <c r="D27" s="54">
        <v>4.75E7</v>
      </c>
      <c r="E27" s="55"/>
    </row>
    <row r="28" spans="8:8">
      <c r="A28" s="56"/>
      <c r="B28" s="56"/>
      <c r="C28" s="56"/>
      <c r="D28" s="56"/>
      <c r="E28" s="56"/>
    </row>
    <row r="29" spans="8:8">
      <c r="A29" s="57"/>
      <c r="B29" s="57"/>
      <c r="C29" s="57"/>
      <c r="D29" s="57"/>
      <c r="E29" s="57"/>
    </row>
    <row r="30" spans="8:8">
      <c r="A30" s="37" t="s">
        <v>119</v>
      </c>
      <c r="B30" s="38"/>
      <c r="C30" s="38"/>
      <c r="D30" s="38"/>
      <c r="E30" s="39"/>
    </row>
    <row r="31" spans="8:8">
      <c r="A31" s="40" t="s">
        <v>105</v>
      </c>
      <c r="B31" s="41" t="s">
        <v>120</v>
      </c>
      <c r="C31" s="41"/>
      <c r="D31" s="41" t="s">
        <v>107</v>
      </c>
      <c r="E31" s="42" t="s">
        <v>108</v>
      </c>
    </row>
    <row r="32" spans="8:8">
      <c r="A32" s="43" t="s">
        <v>121</v>
      </c>
      <c r="B32" s="44" t="s">
        <v>122</v>
      </c>
      <c r="C32" s="44"/>
      <c r="D32" s="45">
        <v>2.4E7</v>
      </c>
      <c r="E32" s="46" t="s">
        <v>123</v>
      </c>
    </row>
    <row r="33" spans="8:8">
      <c r="A33" s="43" t="s">
        <v>124</v>
      </c>
      <c r="B33" s="44" t="s">
        <v>125</v>
      </c>
      <c r="C33" s="44"/>
      <c r="D33" s="45">
        <v>1.6E7</v>
      </c>
      <c r="E33" s="46" t="s">
        <v>123</v>
      </c>
    </row>
    <row r="34" spans="8:8">
      <c r="A34" s="50" t="s">
        <v>126</v>
      </c>
      <c r="B34" s="48" t="s">
        <v>127</v>
      </c>
      <c r="C34" s="48"/>
      <c r="D34" s="49">
        <v>3.5E7</v>
      </c>
      <c r="E34" s="46" t="s">
        <v>123</v>
      </c>
    </row>
    <row r="35" spans="8:8">
      <c r="A35" s="50"/>
      <c r="B35" s="48"/>
      <c r="C35" s="48"/>
      <c r="D35" s="49"/>
      <c r="E35" s="51"/>
    </row>
    <row r="36" spans="8:8">
      <c r="A36" s="50"/>
      <c r="B36" s="48"/>
      <c r="C36" s="48"/>
      <c r="D36" s="49"/>
      <c r="E36" s="51"/>
    </row>
    <row r="37" spans="8:8">
      <c r="A37" s="52"/>
      <c r="B37" s="53"/>
      <c r="C37" s="53"/>
      <c r="D37" s="54">
        <v>7.5E7</v>
      </c>
      <c r="E37" s="55"/>
    </row>
  </sheetData>
  <mergeCells count="4">
    <mergeCell ref="A16:B16"/>
    <mergeCell ref="A12:B12"/>
    <mergeCell ref="A4:B4"/>
    <mergeCell ref="A9:B9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R184"/>
  <sheetViews>
    <sheetView workbookViewId="0" zoomScale="80">
      <selection activeCell="A60" sqref="A60"/>
    </sheetView>
  </sheetViews>
  <sheetFormatPr defaultRowHeight="15.0" defaultColWidth="10"/>
  <cols>
    <col min="2" max="2" customWidth="1" width="9.285156" style="0"/>
    <col min="3" max="3" customWidth="1" width="15.140625" style="0"/>
    <col min="4" max="4" customWidth="1" width="37.0" style="0"/>
    <col min="5" max="5" customWidth="1" width="7.2851562" style="0"/>
    <col min="6" max="7" customWidth="1" width="16.425781" style="0"/>
    <col min="8" max="8" customWidth="1" width="13.5703125" style="0"/>
    <col min="10" max="10" customWidth="1" width="10.5703125" style="0"/>
    <col min="11" max="11" customWidth="1" width="11.5703125" style="0"/>
    <col min="13" max="13" customWidth="1" width="10.5703125" style="0"/>
    <col min="14" max="14" customWidth="1" width="13.0" style="0"/>
  </cols>
  <sheetData>
    <row r="1" spans="8:8">
      <c r="A1" s="58" t="s">
        <v>69</v>
      </c>
      <c r="B1" s="59"/>
      <c r="C1" s="60"/>
      <c r="D1" s="60"/>
      <c r="E1" s="60"/>
      <c r="F1" s="61"/>
      <c r="G1" s="61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8:8">
      <c r="A2" s="59" t="s">
        <v>128</v>
      </c>
      <c r="B2" s="59"/>
      <c r="C2" s="60"/>
      <c r="D2" s="60"/>
      <c r="E2" s="60"/>
      <c r="F2" s="61"/>
      <c r="G2" s="61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8:8">
      <c r="A3" s="59" t="s">
        <v>129</v>
      </c>
      <c r="B3" s="59"/>
      <c r="C3" s="60"/>
      <c r="D3" s="60"/>
      <c r="E3" s="60"/>
      <c r="F3" s="61"/>
      <c r="G3" s="61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8:8">
      <c r="A4" s="62"/>
      <c r="B4" s="62"/>
      <c r="C4" s="62"/>
      <c r="D4" s="62"/>
      <c r="E4" s="62"/>
      <c r="F4" s="63"/>
      <c r="G4" s="63"/>
      <c r="H4" s="64" t="s">
        <v>130</v>
      </c>
      <c r="I4" s="65"/>
      <c r="J4" s="65"/>
      <c r="K4" s="65"/>
      <c r="L4" s="65"/>
      <c r="M4" s="65"/>
      <c r="N4" s="65"/>
      <c r="O4" s="65"/>
      <c r="P4" s="65"/>
      <c r="Q4" s="66"/>
    </row>
    <row r="5" spans="8:8">
      <c r="A5" s="67" t="s">
        <v>131</v>
      </c>
      <c r="B5" s="67" t="s">
        <v>132</v>
      </c>
      <c r="C5" s="67" t="s">
        <v>133</v>
      </c>
      <c r="D5" s="67" t="s">
        <v>134</v>
      </c>
      <c r="E5" s="67" t="s">
        <v>135</v>
      </c>
      <c r="F5" s="68" t="s">
        <v>136</v>
      </c>
      <c r="G5" s="68" t="s">
        <v>137</v>
      </c>
      <c r="H5" s="69" t="s">
        <v>138</v>
      </c>
      <c r="I5" s="70" t="s">
        <v>139</v>
      </c>
      <c r="J5" s="71"/>
      <c r="K5" s="72"/>
      <c r="L5" s="70" t="s">
        <v>140</v>
      </c>
      <c r="M5" s="71"/>
      <c r="N5" s="72"/>
      <c r="O5" s="70" t="s">
        <v>141</v>
      </c>
      <c r="P5" s="71"/>
      <c r="Q5" s="72"/>
    </row>
    <row r="6" spans="8:8">
      <c r="A6" s="73"/>
      <c r="B6" s="73"/>
      <c r="C6" s="73"/>
      <c r="D6" s="73"/>
      <c r="E6" s="73"/>
      <c r="F6" s="74"/>
      <c r="G6" s="74"/>
      <c r="H6" s="75"/>
      <c r="I6" s="76" t="s">
        <v>142</v>
      </c>
      <c r="J6" s="77" t="s">
        <v>143</v>
      </c>
      <c r="K6" s="78" t="s">
        <v>144</v>
      </c>
      <c r="L6" s="76" t="s">
        <v>142</v>
      </c>
      <c r="M6" s="77" t="s">
        <v>143</v>
      </c>
      <c r="N6" s="78" t="s">
        <v>144</v>
      </c>
      <c r="O6" s="79" t="s">
        <v>142</v>
      </c>
      <c r="P6" s="80" t="s">
        <v>143</v>
      </c>
      <c r="Q6" s="81" t="s">
        <v>144</v>
      </c>
    </row>
    <row r="7" spans="8:8">
      <c r="A7" s="82"/>
      <c r="B7" s="82"/>
      <c r="C7" s="82"/>
      <c r="D7" s="82"/>
      <c r="E7" s="82"/>
      <c r="F7" s="82"/>
      <c r="G7" s="82"/>
      <c r="H7" s="83"/>
      <c r="I7" s="84"/>
      <c r="J7" s="85"/>
      <c r="K7" s="86"/>
      <c r="L7" s="87"/>
      <c r="M7" s="85"/>
      <c r="N7" s="86"/>
      <c r="O7" s="88"/>
      <c r="P7" s="88"/>
      <c r="Q7" s="88"/>
    </row>
    <row r="8" spans="8:8">
      <c r="A8" s="11">
        <v>11602.0</v>
      </c>
      <c r="B8" s="89">
        <v>38719.0</v>
      </c>
      <c r="C8" s="90" t="s">
        <v>210</v>
      </c>
      <c r="D8" s="90" t="str">
        <f>VLOOKUP(A8,'Master Account'!$A$4:$E$69,2,FALSE)</f>
        <v>Uang Muka Pembelian</v>
      </c>
      <c r="E8" s="90"/>
      <c r="F8" s="91">
        <v>6000000.0</v>
      </c>
      <c r="G8" s="91"/>
      <c r="H8" s="90"/>
      <c r="I8" s="92"/>
      <c r="J8" s="93"/>
      <c r="K8" s="94"/>
      <c r="L8" s="95"/>
      <c r="M8" s="93"/>
      <c r="N8" s="94"/>
      <c r="O8" s="91"/>
      <c r="P8" s="91"/>
      <c r="Q8" s="91"/>
    </row>
    <row r="9" spans="8:8">
      <c r="A9" s="11">
        <v>11201.0</v>
      </c>
      <c r="B9" s="89"/>
      <c r="C9" s="90"/>
      <c r="D9" s="90" t="str">
        <f>VLOOKUP(A9,'Master Account'!$A$4:$E$69,2,FALSE)</f>
        <v>Bank BCA</v>
      </c>
      <c r="E9" s="90"/>
      <c r="F9" s="91"/>
      <c r="G9" s="91">
        <v>6000000.0</v>
      </c>
      <c r="H9" s="90"/>
      <c r="I9" s="92"/>
      <c r="J9" s="93"/>
      <c r="K9" s="94"/>
      <c r="L9" s="95"/>
      <c r="M9" s="93"/>
      <c r="N9" s="94"/>
      <c r="O9" s="91"/>
      <c r="P9" s="91"/>
      <c r="Q9" s="91"/>
    </row>
    <row r="10" spans="8:8">
      <c r="A10" s="96"/>
      <c r="B10" s="90"/>
      <c r="C10" s="90"/>
      <c r="D10" s="90"/>
      <c r="E10" s="90"/>
      <c r="F10" s="91"/>
      <c r="G10" s="91"/>
      <c r="H10" s="90"/>
      <c r="I10" s="92"/>
      <c r="J10" s="93"/>
      <c r="K10" s="94"/>
      <c r="L10" s="95"/>
      <c r="M10" s="93"/>
      <c r="N10" s="94"/>
      <c r="O10" s="91"/>
      <c r="P10" s="91"/>
      <c r="Q10" s="91"/>
    </row>
    <row r="11" spans="8:8">
      <c r="A11" s="11">
        <v>21100.0</v>
      </c>
      <c r="B11" s="89">
        <v>38719.0</v>
      </c>
      <c r="C11" s="90" t="s">
        <v>211</v>
      </c>
      <c r="D11" s="90" t="str">
        <f>VLOOKUP(A11,'Master Account'!$A$4:$E$69,2,FALSE)</f>
        <v>Hutang Usaha</v>
      </c>
      <c r="E11" s="90" t="s">
        <v>121</v>
      </c>
      <c r="F11" s="91">
        <v>2.4E7</v>
      </c>
      <c r="G11" s="91"/>
      <c r="H11" s="90"/>
      <c r="I11" s="92"/>
      <c r="J11" s="93"/>
      <c r="K11" s="94"/>
      <c r="L11" s="95"/>
      <c r="M11" s="93"/>
      <c r="N11" s="94"/>
      <c r="O11" s="91"/>
      <c r="P11" s="91"/>
      <c r="Q11" s="91"/>
    </row>
    <row r="12" spans="8:8">
      <c r="A12" s="11">
        <v>11201.0</v>
      </c>
      <c r="B12" s="89"/>
      <c r="C12" s="90"/>
      <c r="D12" s="90" t="str">
        <f>VLOOKUP(A12,'Master Account'!$A$4:$E$69,2,FALSE)</f>
        <v>Bank BCA</v>
      </c>
      <c r="E12" s="90"/>
      <c r="F12" s="91"/>
      <c r="G12" s="91">
        <v>2.4E7</v>
      </c>
      <c r="H12" s="90"/>
      <c r="I12" s="92"/>
      <c r="J12" s="93"/>
      <c r="K12" s="94"/>
      <c r="L12" s="95"/>
      <c r="M12" s="93"/>
      <c r="N12" s="94"/>
      <c r="O12" s="91"/>
      <c r="P12" s="91"/>
      <c r="Q12" s="91"/>
    </row>
    <row r="13" spans="8:8">
      <c r="A13" s="96"/>
      <c r="B13" s="90"/>
      <c r="C13" s="90"/>
      <c r="D13" s="90"/>
      <c r="E13" s="90"/>
      <c r="F13" s="91"/>
      <c r="G13" s="91"/>
      <c r="H13" s="90"/>
      <c r="I13" s="92"/>
      <c r="J13" s="93"/>
      <c r="K13" s="94"/>
      <c r="L13" s="95"/>
      <c r="M13" s="93"/>
      <c r="N13" s="94"/>
      <c r="O13" s="91"/>
      <c r="P13" s="91"/>
      <c r="Q13" s="91"/>
    </row>
    <row r="14" spans="8:8">
      <c r="A14" s="11">
        <v>11101.0</v>
      </c>
      <c r="B14" s="89">
        <v>38720.0</v>
      </c>
      <c r="C14" s="97" t="s">
        <v>212</v>
      </c>
      <c r="D14" s="90" t="str">
        <f>VLOOKUP(A14,'Master Account'!$A$4:$E$69,2,FALSE)</f>
        <v>Kas Di Tangan</v>
      </c>
      <c r="E14" s="90"/>
      <c r="F14" s="91">
        <v>2.495625E7</v>
      </c>
      <c r="G14" s="91"/>
      <c r="H14" s="91"/>
      <c r="I14" s="92"/>
      <c r="J14" s="93"/>
      <c r="K14" s="94"/>
      <c r="L14" s="95"/>
      <c r="M14" s="93"/>
      <c r="N14" s="94"/>
      <c r="O14" s="91"/>
      <c r="P14" s="91"/>
      <c r="Q14" s="91"/>
    </row>
    <row r="15" spans="8:8">
      <c r="A15" s="11">
        <v>43000.0</v>
      </c>
      <c r="B15" s="89"/>
      <c r="C15" s="97"/>
      <c r="D15" s="90" t="str">
        <f>VLOOKUP(A15,'Master Account'!$A$4:$E$69,2,FALSE)</f>
        <v>Potongan Penjualan</v>
      </c>
      <c r="E15" s="90"/>
      <c r="F15" s="91">
        <v>562500.0</v>
      </c>
      <c r="G15" s="91"/>
      <c r="H15" s="91"/>
      <c r="I15" s="92"/>
      <c r="J15" s="93"/>
      <c r="K15" s="94"/>
      <c r="L15" s="95"/>
      <c r="M15" s="93"/>
      <c r="N15" s="94"/>
      <c r="O15" s="91"/>
      <c r="P15" s="91"/>
      <c r="Q15" s="91"/>
    </row>
    <row r="16" spans="8:8">
      <c r="A16" s="11">
        <v>41000.0</v>
      </c>
      <c r="B16" s="89"/>
      <c r="C16" s="97"/>
      <c r="D16" s="90" t="str">
        <f>VLOOKUP(A16,'Master Account'!$A$4:$E$69,2,FALSE)</f>
        <v>Penjualan </v>
      </c>
      <c r="E16" s="90"/>
      <c r="F16" s="91"/>
      <c r="G16" s="91">
        <v>2.325E7</v>
      </c>
      <c r="H16" s="90"/>
      <c r="I16" s="92"/>
      <c r="J16" s="93"/>
      <c r="K16" s="94"/>
      <c r="L16" s="95"/>
      <c r="M16" s="93"/>
      <c r="N16" s="94"/>
      <c r="O16" s="91"/>
      <c r="P16" s="91"/>
      <c r="Q16" s="91"/>
    </row>
    <row r="17" spans="8:8">
      <c r="A17" s="11">
        <v>21403.0</v>
      </c>
      <c r="B17" s="89"/>
      <c r="C17" s="97"/>
      <c r="D17" s="90" t="str">
        <f>VLOOKUP(A17,'Master Account'!$A$4:$E$69,2,FALSE)</f>
        <v>PPN Keluaran </v>
      </c>
      <c r="E17" s="90"/>
      <c r="F17" s="91"/>
      <c r="G17" s="91">
        <v>2268750.0</v>
      </c>
      <c r="H17" s="90"/>
      <c r="I17" s="92"/>
      <c r="J17" s="93"/>
      <c r="K17" s="94"/>
      <c r="L17" s="95"/>
      <c r="M17" s="93"/>
      <c r="N17" s="94"/>
      <c r="O17" s="91"/>
      <c r="P17" s="91"/>
      <c r="Q17" s="91"/>
    </row>
    <row r="18" spans="8:8">
      <c r="A18" s="11">
        <v>51000.0</v>
      </c>
      <c r="B18" s="89"/>
      <c r="C18" s="97"/>
      <c r="D18" s="90" t="str">
        <f>VLOOKUP(A18,'Master Account'!$A$4:$E$69,2,FALSE)</f>
        <v>Harga Pokok Penjualan</v>
      </c>
      <c r="E18" s="90"/>
      <c r="F18" s="91">
        <f>G19+G20</f>
        <v>1.935E7</v>
      </c>
      <c r="G18" s="91"/>
      <c r="H18" s="90"/>
      <c r="I18" s="92"/>
      <c r="J18" s="93"/>
      <c r="K18" s="94"/>
      <c r="L18" s="95"/>
      <c r="M18" s="93"/>
      <c r="N18" s="94"/>
      <c r="O18" s="91"/>
      <c r="P18" s="91"/>
      <c r="Q18" s="91"/>
    </row>
    <row r="19" spans="8:8">
      <c r="A19" s="11">
        <v>11500.0</v>
      </c>
      <c r="B19" s="89"/>
      <c r="C19" s="97"/>
      <c r="D19" s="90" t="str">
        <f>VLOOKUP(A19,'Master Account'!$A$4:$E$69,2,FALSE)</f>
        <v>PERSEDIAAN BARANG DAGANGAN</v>
      </c>
      <c r="E19" s="90"/>
      <c r="F19" s="91"/>
      <c r="G19" s="91">
        <v>9600000.0</v>
      </c>
      <c r="H19" s="96" t="s">
        <v>77</v>
      </c>
      <c r="I19" s="92"/>
      <c r="J19" s="93"/>
      <c r="K19" s="94"/>
      <c r="L19" s="98">
        <v>8.0</v>
      </c>
      <c r="M19" s="93">
        <v>1200000.0</v>
      </c>
      <c r="N19" s="94">
        <f>L19*M19</f>
        <v>9600000.0</v>
      </c>
      <c r="O19" s="91"/>
      <c r="P19" s="91"/>
      <c r="Q19" s="91"/>
    </row>
    <row r="20" spans="8:8">
      <c r="A20" s="11">
        <v>11500.0</v>
      </c>
      <c r="B20" s="89"/>
      <c r="C20" s="97"/>
      <c r="D20" s="90" t="str">
        <f>VLOOKUP(A20,'Master Account'!$A$4:$E$69,2,FALSE)</f>
        <v>PERSEDIAAN BARANG DAGANGAN</v>
      </c>
      <c r="E20" s="90"/>
      <c r="F20" s="91"/>
      <c r="G20" s="91">
        <v>9750000.0</v>
      </c>
      <c r="H20" s="96" t="s">
        <v>79</v>
      </c>
      <c r="I20" s="92"/>
      <c r="J20" s="93"/>
      <c r="K20" s="94"/>
      <c r="L20" s="98">
        <v>30.0</v>
      </c>
      <c r="M20" s="93">
        <v>325000.0</v>
      </c>
      <c r="N20" s="94">
        <f>L20*M20</f>
        <v>9750000.0</v>
      </c>
      <c r="O20" s="91"/>
      <c r="P20" s="91"/>
      <c r="Q20" s="91"/>
    </row>
    <row r="21" spans="8:8">
      <c r="A21" s="96"/>
      <c r="B21" s="90"/>
      <c r="C21" s="99"/>
      <c r="D21" s="90"/>
      <c r="E21" s="90"/>
      <c r="F21" s="91"/>
      <c r="G21" s="91"/>
      <c r="H21" s="90"/>
      <c r="I21" s="92"/>
      <c r="J21" s="93"/>
      <c r="K21" s="94"/>
      <c r="L21" s="95"/>
      <c r="M21" s="93"/>
      <c r="N21" s="94"/>
      <c r="O21" s="91"/>
      <c r="P21" s="91"/>
      <c r="Q21" s="91"/>
    </row>
    <row r="22" spans="8:8">
      <c r="A22" s="11">
        <v>11202.0</v>
      </c>
      <c r="B22" s="89">
        <v>38720.0</v>
      </c>
      <c r="C22" s="99" t="s">
        <v>213</v>
      </c>
      <c r="D22" s="90" t="str">
        <f>VLOOKUP(A22,'Master Account'!$A$4:$E$69,2,FALSE)</f>
        <v>Bank Mandiri</v>
      </c>
      <c r="E22" s="90"/>
      <c r="F22" s="91">
        <v>1.455E7</v>
      </c>
      <c r="G22" s="91"/>
      <c r="H22" s="90"/>
      <c r="I22" s="92"/>
      <c r="J22" s="93"/>
      <c r="K22" s="94"/>
      <c r="L22" s="95"/>
      <c r="M22" s="93"/>
      <c r="N22" s="94"/>
      <c r="O22" s="91"/>
      <c r="P22" s="91"/>
      <c r="Q22" s="91"/>
    </row>
    <row r="23" spans="8:8">
      <c r="A23" s="11">
        <v>43000.0</v>
      </c>
      <c r="B23" s="89"/>
      <c r="C23" s="99"/>
      <c r="D23" s="90" t="str">
        <f>VLOOKUP(A23,'Master Account'!$A$4:$E$69,2,FALSE)</f>
        <v>Potongan Penjualan</v>
      </c>
      <c r="E23" s="90"/>
      <c r="F23" s="91">
        <v>450000.0</v>
      </c>
      <c r="G23" s="91"/>
      <c r="H23" s="90"/>
      <c r="I23" s="92"/>
      <c r="J23" s="93"/>
      <c r="K23" s="94"/>
      <c r="L23" s="95"/>
      <c r="M23" s="93"/>
      <c r="N23" s="94"/>
      <c r="O23" s="91"/>
      <c r="P23" s="91"/>
      <c r="Q23" s="91"/>
    </row>
    <row r="24" spans="8:8">
      <c r="A24" s="11">
        <v>11301.0</v>
      </c>
      <c r="B24" s="89"/>
      <c r="C24" s="99"/>
      <c r="D24" s="90" t="str">
        <f>VLOOKUP(A24,'Master Account'!$A$4:$E$69,2,FALSE)</f>
        <v>Piutang Usaha </v>
      </c>
      <c r="E24" s="90" t="s">
        <v>117</v>
      </c>
      <c r="F24" s="91"/>
      <c r="G24" s="91">
        <v>1.5E7</v>
      </c>
      <c r="H24" s="90"/>
      <c r="I24" s="92"/>
      <c r="J24" s="93"/>
      <c r="K24" s="94"/>
      <c r="L24" s="95"/>
      <c r="M24" s="93"/>
      <c r="N24" s="94"/>
      <c r="O24" s="91"/>
      <c r="P24" s="91"/>
      <c r="Q24" s="91"/>
    </row>
    <row r="25" spans="8:8">
      <c r="A25" s="96"/>
      <c r="B25" s="90"/>
      <c r="C25" s="99"/>
      <c r="D25" s="90"/>
      <c r="E25" s="90"/>
      <c r="F25" s="91"/>
      <c r="G25" s="91"/>
      <c r="H25" s="90"/>
      <c r="I25" s="92"/>
      <c r="J25" s="93"/>
      <c r="K25" s="94"/>
      <c r="L25" s="95"/>
      <c r="M25" s="93"/>
      <c r="N25" s="94"/>
      <c r="O25" s="91"/>
      <c r="P25" s="91"/>
      <c r="Q25" s="91"/>
    </row>
    <row r="26" spans="8:8">
      <c r="A26" s="11">
        <v>11500.0</v>
      </c>
      <c r="B26" s="89">
        <v>38721.0</v>
      </c>
      <c r="C26" s="99" t="s">
        <v>214</v>
      </c>
      <c r="D26" s="90" t="str">
        <f>VLOOKUP(A26,'Master Account'!$A$4:$E$69,2,FALSE)</f>
        <v>PERSEDIAAN BARANG DAGANGAN</v>
      </c>
      <c r="E26" s="90"/>
      <c r="F26" s="91">
        <v>1.2E7</v>
      </c>
      <c r="G26" s="91"/>
      <c r="H26" s="100" t="s">
        <v>77</v>
      </c>
      <c r="I26" s="98">
        <v>10.0</v>
      </c>
      <c r="J26" s="93">
        <v>1200000.0</v>
      </c>
      <c r="K26" s="94">
        <f>I26*J26</f>
        <v>1.2E7</v>
      </c>
      <c r="L26" s="95"/>
      <c r="M26" s="93"/>
      <c r="N26" s="94"/>
      <c r="O26" s="91"/>
      <c r="P26" s="91"/>
      <c r="Q26" s="91"/>
    </row>
    <row r="27" spans="8:8">
      <c r="A27" s="11">
        <v>11500.0</v>
      </c>
      <c r="B27" s="89"/>
      <c r="C27" s="99"/>
      <c r="D27" s="90" t="str">
        <f>VLOOKUP(A27,'Master Account'!$A$4:$E$69,2,FALSE)</f>
        <v>PERSEDIAAN BARANG DAGANGAN</v>
      </c>
      <c r="E27" s="90"/>
      <c r="F27" s="91">
        <v>9750000.0</v>
      </c>
      <c r="G27" s="91"/>
      <c r="H27" s="100" t="s">
        <v>79</v>
      </c>
      <c r="I27" s="98">
        <v>30.0</v>
      </c>
      <c r="J27" s="93">
        <v>325000.0</v>
      </c>
      <c r="K27" s="94">
        <f>I27*J27</f>
        <v>9750000.0</v>
      </c>
      <c r="L27" s="95"/>
      <c r="M27" s="93"/>
      <c r="N27" s="94"/>
      <c r="O27" s="91"/>
      <c r="P27" s="91"/>
      <c r="Q27" s="91"/>
    </row>
    <row r="28" spans="8:8">
      <c r="A28" s="11">
        <v>11601.0</v>
      </c>
      <c r="B28" s="89"/>
      <c r="C28" s="99"/>
      <c r="D28" s="90" t="str">
        <f>VLOOKUP(A28,'Master Account'!$A$4:$E$69,2,FALSE)</f>
        <v>PPN Masukan</v>
      </c>
      <c r="E28" s="90"/>
      <c r="F28" s="91">
        <v>2175000.0</v>
      </c>
      <c r="G28" s="91"/>
      <c r="H28" s="90"/>
      <c r="I28" s="95"/>
      <c r="J28" s="93"/>
      <c r="K28" s="94"/>
      <c r="L28" s="95"/>
      <c r="M28" s="93"/>
      <c r="N28" s="94"/>
      <c r="O28" s="91"/>
      <c r="P28" s="91"/>
      <c r="Q28" s="91"/>
    </row>
    <row r="29" spans="8:8">
      <c r="A29" s="11">
        <v>11602.0</v>
      </c>
      <c r="B29" s="89"/>
      <c r="C29" s="99"/>
      <c r="D29" s="90" t="str">
        <f>VLOOKUP(A29,'Master Account'!$A$4:$E$69,2,FALSE)</f>
        <v>Uang Muka Pembelian</v>
      </c>
      <c r="E29" s="90"/>
      <c r="F29" s="91"/>
      <c r="G29" s="91">
        <v>6000000.0</v>
      </c>
      <c r="H29" s="90"/>
      <c r="I29" s="95"/>
      <c r="J29" s="93"/>
      <c r="K29" s="94"/>
      <c r="L29" s="95"/>
      <c r="M29" s="93"/>
      <c r="N29" s="94"/>
      <c r="O29" s="91"/>
      <c r="P29" s="91"/>
      <c r="Q29" s="91"/>
    </row>
    <row r="30" spans="8:8">
      <c r="A30" s="11">
        <v>21100.0</v>
      </c>
      <c r="B30" s="89"/>
      <c r="C30" s="99"/>
      <c r="D30" s="90" t="str">
        <f>VLOOKUP(A30,'Master Account'!$A$4:$E$69,2,FALSE)</f>
        <v>Hutang Usaha</v>
      </c>
      <c r="E30" s="90" t="s">
        <v>121</v>
      </c>
      <c r="F30" s="91"/>
      <c r="G30" s="91">
        <v>1.7925E7</v>
      </c>
      <c r="H30" s="90"/>
      <c r="I30" s="95"/>
      <c r="J30" s="93"/>
      <c r="K30" s="94"/>
      <c r="L30" s="95"/>
      <c r="M30" s="93"/>
      <c r="N30" s="94"/>
      <c r="O30" s="91"/>
      <c r="P30" s="91"/>
      <c r="Q30" s="91"/>
    </row>
    <row r="31" spans="8:8">
      <c r="A31" s="96"/>
      <c r="B31" s="90"/>
      <c r="C31" s="99"/>
      <c r="D31" s="90"/>
      <c r="E31" s="90"/>
      <c r="F31" s="91"/>
      <c r="G31" s="91"/>
      <c r="H31" s="90"/>
      <c r="I31" s="95"/>
      <c r="J31" s="93"/>
      <c r="K31" s="94"/>
      <c r="L31" s="95"/>
      <c r="M31" s="93"/>
      <c r="N31" s="94"/>
      <c r="O31" s="91"/>
      <c r="P31" s="91"/>
      <c r="Q31" s="91"/>
    </row>
    <row r="32" spans="8:8">
      <c r="A32" s="11">
        <v>21100.0</v>
      </c>
      <c r="B32" s="89">
        <v>38723.0</v>
      </c>
      <c r="C32" s="90" t="s">
        <v>215</v>
      </c>
      <c r="D32" s="90" t="str">
        <f>VLOOKUP(A32,'Master Account'!$A$4:$E$69,2,FALSE)</f>
        <v>Hutang Usaha</v>
      </c>
      <c r="E32" s="90" t="s">
        <v>121</v>
      </c>
      <c r="F32" s="91">
        <v>357500.0</v>
      </c>
      <c r="G32" s="91"/>
      <c r="H32" s="90"/>
      <c r="I32" s="95"/>
      <c r="J32" s="93"/>
      <c r="K32" s="94"/>
      <c r="L32" s="95"/>
      <c r="M32" s="93"/>
      <c r="N32" s="94"/>
      <c r="O32" s="91"/>
      <c r="P32" s="91"/>
      <c r="Q32" s="91"/>
    </row>
    <row r="33" spans="8:8">
      <c r="A33" s="11">
        <v>11601.0</v>
      </c>
      <c r="B33" s="89"/>
      <c r="C33" s="90"/>
      <c r="D33" s="90" t="str">
        <f>VLOOKUP(A33,'Master Account'!$A$4:$E$69,2,FALSE)</f>
        <v>PPN Masukan</v>
      </c>
      <c r="E33" s="90"/>
      <c r="F33" s="91"/>
      <c r="G33" s="91">
        <v>32500.0</v>
      </c>
      <c r="H33" s="90"/>
      <c r="I33" s="95"/>
      <c r="J33" s="93"/>
      <c r="K33" s="94"/>
      <c r="L33" s="95"/>
      <c r="M33" s="93"/>
      <c r="N33" s="94"/>
      <c r="O33" s="91"/>
      <c r="P33" s="91"/>
      <c r="Q33" s="91"/>
    </row>
    <row r="34" spans="8:8">
      <c r="A34" s="11">
        <v>11500.0</v>
      </c>
      <c r="B34" s="89"/>
      <c r="C34" s="90"/>
      <c r="D34" s="90" t="str">
        <f>VLOOKUP(A34,'Master Account'!$A$4:$E$69,2,FALSE)</f>
        <v>PERSEDIAAN BARANG DAGANGAN</v>
      </c>
      <c r="E34" s="90"/>
      <c r="F34" s="91"/>
      <c r="G34" s="91">
        <v>325000.0</v>
      </c>
      <c r="H34" s="96" t="s">
        <v>79</v>
      </c>
      <c r="I34" s="101">
        <v>-1.0</v>
      </c>
      <c r="J34" s="93">
        <v>325000.0</v>
      </c>
      <c r="K34" s="94">
        <f>I34*J34</f>
        <v>-325000.0</v>
      </c>
      <c r="L34" s="95"/>
      <c r="M34" s="93"/>
      <c r="N34" s="94"/>
      <c r="O34" s="91"/>
      <c r="P34" s="91"/>
      <c r="Q34" s="91"/>
    </row>
    <row r="35" spans="8:8">
      <c r="A35" s="90"/>
      <c r="B35" s="90"/>
      <c r="C35" s="90"/>
      <c r="D35" s="90"/>
      <c r="E35" s="90"/>
      <c r="F35" s="91"/>
      <c r="G35" s="91"/>
      <c r="H35" s="96"/>
      <c r="I35" s="101"/>
      <c r="J35" s="93"/>
      <c r="K35" s="94"/>
      <c r="L35" s="95"/>
      <c r="M35" s="93"/>
      <c r="N35" s="94"/>
      <c r="O35" s="91"/>
      <c r="P35" s="91"/>
      <c r="Q35" s="91"/>
    </row>
    <row r="36" spans="8:8">
      <c r="A36" s="11">
        <v>11201.0</v>
      </c>
      <c r="B36" s="89">
        <v>38724.0</v>
      </c>
      <c r="C36" s="90" t="s">
        <v>216</v>
      </c>
      <c r="D36" s="90" t="str">
        <f>VLOOKUP(A36,'Master Account'!$A$4:$E$69,2,FALSE)</f>
        <v>Bank BCA</v>
      </c>
      <c r="E36" s="90"/>
      <c r="F36" s="91">
        <v>3.0E7</v>
      </c>
      <c r="G36" s="91"/>
      <c r="H36" s="96"/>
      <c r="I36" s="101"/>
      <c r="J36" s="93"/>
      <c r="K36" s="94"/>
      <c r="L36" s="95"/>
      <c r="M36" s="93"/>
      <c r="N36" s="94"/>
      <c r="O36" s="91"/>
      <c r="P36" s="91"/>
      <c r="Q36" s="91"/>
    </row>
    <row r="37" spans="8:8">
      <c r="A37" s="11">
        <v>11202.0</v>
      </c>
      <c r="B37" s="89"/>
      <c r="C37" s="90"/>
      <c r="D37" s="90" t="str">
        <f>VLOOKUP(A37,'Master Account'!$A$4:$E$69,2,FALSE)</f>
        <v>Bank Mandiri</v>
      </c>
      <c r="E37" s="90"/>
      <c r="F37" s="91"/>
      <c r="G37" s="91">
        <v>3.0E7</v>
      </c>
      <c r="H37" s="96"/>
      <c r="I37" s="101"/>
      <c r="J37" s="93"/>
      <c r="K37" s="94"/>
      <c r="L37" s="95"/>
      <c r="M37" s="93"/>
      <c r="N37" s="94"/>
      <c r="O37" s="91"/>
      <c r="P37" s="91"/>
      <c r="Q37" s="91"/>
    </row>
    <row r="38" spans="8:8">
      <c r="A38" s="90"/>
      <c r="B38" s="90"/>
      <c r="C38" s="90"/>
      <c r="D38" s="90"/>
      <c r="E38" s="90"/>
      <c r="F38" s="91"/>
      <c r="G38" s="91"/>
      <c r="H38" s="96"/>
      <c r="I38" s="101"/>
      <c r="J38" s="93"/>
      <c r="K38" s="94"/>
      <c r="L38" s="95"/>
      <c r="M38" s="93"/>
      <c r="N38" s="94"/>
      <c r="O38" s="91"/>
      <c r="P38" s="91"/>
      <c r="Q38" s="91"/>
    </row>
    <row r="39" spans="8:8">
      <c r="A39" s="11">
        <v>11201.0</v>
      </c>
      <c r="B39" s="89">
        <v>38726.0</v>
      </c>
      <c r="C39" s="90" t="s">
        <v>217</v>
      </c>
      <c r="D39" s="90" t="str">
        <f>VLOOKUP(A39,'Master Account'!$A$4:$E$69,2,FALSE)</f>
        <v>Bank BCA</v>
      </c>
      <c r="E39" s="90"/>
      <c r="F39" s="91">
        <v>1.47E7</v>
      </c>
      <c r="G39" s="91"/>
      <c r="H39" s="96"/>
      <c r="I39" s="101"/>
      <c r="J39" s="93"/>
      <c r="K39" s="94"/>
      <c r="L39" s="95"/>
      <c r="M39" s="93"/>
      <c r="N39" s="94"/>
      <c r="O39" s="91"/>
      <c r="P39" s="91"/>
      <c r="Q39" s="91"/>
    </row>
    <row r="40" spans="8:8">
      <c r="A40" s="11">
        <v>43000.0</v>
      </c>
      <c r="B40" s="89"/>
      <c r="C40" s="90"/>
      <c r="D40" s="90" t="str">
        <f>VLOOKUP(A40,'Master Account'!$A$4:$E$69,2,FALSE)</f>
        <v>Potongan Penjualan</v>
      </c>
      <c r="E40" s="90"/>
      <c r="F40" s="91">
        <v>300000.0</v>
      </c>
      <c r="G40" s="91"/>
      <c r="H40" s="96"/>
      <c r="I40" s="101"/>
      <c r="J40" s="93"/>
      <c r="K40" s="94"/>
      <c r="L40" s="95"/>
      <c r="M40" s="93"/>
      <c r="N40" s="94"/>
      <c r="O40" s="91"/>
      <c r="P40" s="91"/>
      <c r="Q40" s="91"/>
    </row>
    <row r="41" spans="8:8">
      <c r="A41" s="11">
        <v>11301.0</v>
      </c>
      <c r="B41" s="89"/>
      <c r="C41" s="90"/>
      <c r="D41" s="90" t="str">
        <f>VLOOKUP(A41,'Master Account'!$A$4:$E$69,2,FALSE)</f>
        <v>Piutang Usaha </v>
      </c>
      <c r="E41" s="90" t="s">
        <v>112</v>
      </c>
      <c r="F41" s="91"/>
      <c r="G41" s="91">
        <v>1.5E7</v>
      </c>
      <c r="H41" s="96"/>
      <c r="I41" s="101"/>
      <c r="J41" s="93"/>
      <c r="K41" s="94"/>
      <c r="L41" s="95"/>
      <c r="M41" s="93"/>
      <c r="N41" s="94"/>
      <c r="O41" s="91"/>
      <c r="P41" s="91"/>
      <c r="Q41" s="91"/>
    </row>
    <row r="42" spans="8:8">
      <c r="A42" s="90"/>
      <c r="B42" s="90"/>
      <c r="C42" s="90"/>
      <c r="D42" s="90"/>
      <c r="E42" s="90"/>
      <c r="F42" s="91"/>
      <c r="G42" s="91"/>
      <c r="H42" s="96"/>
      <c r="I42" s="101"/>
      <c r="J42" s="93"/>
      <c r="K42" s="94"/>
      <c r="L42" s="95"/>
      <c r="M42" s="93"/>
      <c r="N42" s="94"/>
      <c r="O42" s="91"/>
      <c r="P42" s="91"/>
      <c r="Q42" s="91"/>
    </row>
    <row r="43" spans="8:8">
      <c r="A43" s="11">
        <v>11202.0</v>
      </c>
      <c r="B43" s="89">
        <v>38726.0</v>
      </c>
      <c r="C43" s="90" t="s">
        <v>218</v>
      </c>
      <c r="D43" s="90" t="str">
        <f>VLOOKUP(A58,'Master Account'!$A$4:$E$69,2,FALSE)</f>
        <v>Bank Mandiri</v>
      </c>
      <c r="E43" s="90"/>
      <c r="F43" s="91">
        <v>9800000.0</v>
      </c>
      <c r="G43" s="91"/>
      <c r="H43" s="96"/>
      <c r="I43" s="101"/>
      <c r="J43" s="93"/>
      <c r="K43" s="94"/>
      <c r="L43" s="95"/>
      <c r="M43" s="93"/>
      <c r="N43" s="94"/>
      <c r="O43" s="91"/>
      <c r="P43" s="91"/>
      <c r="Q43" s="91"/>
    </row>
    <row r="44" spans="8:8">
      <c r="A44" s="11">
        <v>43000.0</v>
      </c>
      <c r="B44" s="89"/>
      <c r="C44" s="90"/>
      <c r="D44" s="90" t="str">
        <f>VLOOKUP(A44,'Master Account'!$A$4:$E$69,2,FALSE)</f>
        <v>Potongan Penjualan</v>
      </c>
      <c r="E44" s="90"/>
      <c r="F44" s="91">
        <v>200000.0</v>
      </c>
      <c r="G44" s="91"/>
      <c r="H44" s="96"/>
      <c r="I44" s="101"/>
      <c r="J44" s="93"/>
      <c r="K44" s="94"/>
      <c r="L44" s="95"/>
      <c r="M44" s="93"/>
      <c r="N44" s="94"/>
      <c r="O44" s="91"/>
      <c r="P44" s="91"/>
      <c r="Q44" s="91"/>
    </row>
    <row r="45" spans="8:8">
      <c r="A45" s="11">
        <v>11301.0</v>
      </c>
      <c r="B45" s="89"/>
      <c r="C45" s="90"/>
      <c r="D45" s="90" t="str">
        <f>VLOOKUP(A45,'Master Account'!$A$4:$E$69,2,FALSE)</f>
        <v>Piutang Usaha </v>
      </c>
      <c r="E45" s="90" t="s">
        <v>109</v>
      </c>
      <c r="F45" s="91"/>
      <c r="G45" s="91">
        <v>1.0E7</v>
      </c>
      <c r="H45" s="96"/>
      <c r="I45" s="101"/>
      <c r="J45" s="93"/>
      <c r="K45" s="94"/>
      <c r="L45" s="95"/>
      <c r="M45" s="93"/>
      <c r="N45" s="94"/>
      <c r="O45" s="91"/>
      <c r="P45" s="91"/>
      <c r="Q45" s="91"/>
    </row>
    <row r="46" spans="8:8">
      <c r="A46" s="90"/>
      <c r="B46" s="90"/>
      <c r="C46" s="90"/>
      <c r="D46" s="90"/>
      <c r="E46" s="90"/>
      <c r="F46" s="91"/>
      <c r="G46" s="91"/>
      <c r="H46" s="96"/>
      <c r="I46" s="101"/>
      <c r="J46" s="93"/>
      <c r="K46" s="94"/>
      <c r="L46" s="95"/>
      <c r="M46" s="93"/>
      <c r="N46" s="94"/>
      <c r="O46" s="91"/>
      <c r="P46" s="91"/>
      <c r="Q46" s="91"/>
    </row>
    <row r="47" spans="8:8">
      <c r="A47" s="11">
        <v>61002.0</v>
      </c>
      <c r="B47" s="89">
        <v>38727.0</v>
      </c>
      <c r="C47" s="90" t="s">
        <v>219</v>
      </c>
      <c r="D47" s="90" t="str">
        <f>VLOOKUP(A47,'Master Account'!$A$4:$E$69,2,FALSE)</f>
        <v>Beban Sewa</v>
      </c>
      <c r="E47" s="90"/>
      <c r="F47" s="91">
        <v>2500000.0</v>
      </c>
      <c r="G47" s="91"/>
      <c r="H47" s="96"/>
      <c r="I47" s="101"/>
      <c r="J47" s="93"/>
      <c r="K47" s="94"/>
      <c r="L47" s="95"/>
      <c r="M47" s="93"/>
      <c r="N47" s="94"/>
      <c r="O47" s="91"/>
      <c r="P47" s="91"/>
      <c r="Q47" s="91"/>
    </row>
    <row r="48" spans="8:8">
      <c r="A48" s="11">
        <v>11601.0</v>
      </c>
      <c r="B48" s="89"/>
      <c r="C48" s="90"/>
      <c r="D48" s="90" t="str">
        <f>VLOOKUP(A48,'Master Account'!$A$4:$E$69,2,FALSE)</f>
        <v>PPN Masukan</v>
      </c>
      <c r="E48" s="90"/>
      <c r="F48" s="91">
        <v>250000.0</v>
      </c>
      <c r="G48" s="91"/>
      <c r="H48" s="96"/>
      <c r="I48" s="101"/>
      <c r="J48" s="93"/>
      <c r="K48" s="94"/>
      <c r="L48" s="95"/>
      <c r="M48" s="93"/>
      <c r="N48" s="94"/>
      <c r="O48" s="91"/>
      <c r="P48" s="91"/>
      <c r="Q48" s="91"/>
    </row>
    <row r="49" spans="8:8">
      <c r="A49" s="11">
        <v>21402.0</v>
      </c>
      <c r="B49" s="89"/>
      <c r="C49" s="90"/>
      <c r="D49" s="90" t="str">
        <f>VLOOKUP(A49,'Master Account'!$A$4:$E$69,2,FALSE)</f>
        <v>Utang PPh Pasal 4</v>
      </c>
      <c r="E49" s="90"/>
      <c r="F49" s="91"/>
      <c r="G49" s="91">
        <v>250000.0</v>
      </c>
      <c r="H49" s="96"/>
      <c r="I49" s="101"/>
      <c r="J49" s="93"/>
      <c r="K49" s="94"/>
      <c r="L49" s="95"/>
      <c r="M49" s="93"/>
      <c r="N49" s="94"/>
      <c r="O49" s="91"/>
      <c r="P49" s="91"/>
      <c r="Q49" s="91"/>
    </row>
    <row r="50" spans="8:8">
      <c r="A50" s="11">
        <v>11202.0</v>
      </c>
      <c r="B50" s="89"/>
      <c r="C50" s="90"/>
      <c r="D50" s="90" t="str">
        <f>VLOOKUP(A50,'Master Account'!$A$4:$E$69,2,FALSE)</f>
        <v>Bank Mandiri</v>
      </c>
      <c r="E50" s="90"/>
      <c r="F50" s="91"/>
      <c r="G50" s="91">
        <v>2500000.0</v>
      </c>
      <c r="H50" s="96"/>
      <c r="I50" s="101"/>
      <c r="J50" s="93"/>
      <c r="K50" s="94"/>
      <c r="L50" s="95"/>
      <c r="M50" s="93"/>
      <c r="N50" s="94"/>
      <c r="O50" s="91"/>
      <c r="P50" s="91"/>
      <c r="Q50" s="91"/>
    </row>
    <row r="51" spans="8:8">
      <c r="A51" s="96"/>
      <c r="B51" s="90"/>
      <c r="C51" s="90"/>
      <c r="D51" s="90"/>
      <c r="E51" s="90"/>
      <c r="F51" s="91"/>
      <c r="G51" s="91"/>
      <c r="H51" s="96"/>
      <c r="I51" s="101"/>
      <c r="J51" s="93"/>
      <c r="K51" s="94"/>
      <c r="L51" s="95"/>
      <c r="M51" s="93"/>
      <c r="N51" s="94"/>
      <c r="O51" s="91"/>
      <c r="P51" s="91"/>
      <c r="Q51" s="91"/>
    </row>
    <row r="52" spans="8:8">
      <c r="A52" s="11">
        <v>42000.0</v>
      </c>
      <c r="B52" s="89">
        <v>38728.0</v>
      </c>
      <c r="C52" s="90" t="s">
        <v>220</v>
      </c>
      <c r="D52" s="90" t="str">
        <f>VLOOKUP(A52,'Master Account'!$A$4:$E$69,2,FALSE)</f>
        <v>Retur Penjualan </v>
      </c>
      <c r="E52" s="90"/>
      <c r="F52" s="91">
        <v>375000.0</v>
      </c>
      <c r="G52" s="91"/>
      <c r="H52" s="96"/>
      <c r="I52" s="101"/>
      <c r="J52" s="93"/>
      <c r="K52" s="94"/>
      <c r="L52" s="95"/>
      <c r="M52" s="93"/>
      <c r="N52" s="94"/>
      <c r="O52" s="91"/>
      <c r="P52" s="91"/>
      <c r="Q52" s="91"/>
    </row>
    <row r="53" spans="8:8">
      <c r="A53" s="11">
        <v>21403.0</v>
      </c>
      <c r="B53" s="89"/>
      <c r="C53" s="90"/>
      <c r="D53" s="90" t="str">
        <f>VLOOKUP(A53,'Master Account'!$A$4:$E$69,2,FALSE)</f>
        <v>PPN Keluaran </v>
      </c>
      <c r="E53" s="90"/>
      <c r="F53" s="91">
        <v>37500.0</v>
      </c>
      <c r="G53" s="91"/>
      <c r="H53" s="96"/>
      <c r="I53" s="101"/>
      <c r="J53" s="93"/>
      <c r="K53" s="94"/>
      <c r="L53" s="95"/>
      <c r="M53" s="93"/>
      <c r="N53" s="94"/>
      <c r="O53" s="91"/>
      <c r="P53" s="91"/>
      <c r="Q53" s="91"/>
    </row>
    <row r="54" spans="8:8">
      <c r="A54" s="11">
        <v>11101.0</v>
      </c>
      <c r="B54" s="89"/>
      <c r="C54" s="90"/>
      <c r="D54" s="90" t="str">
        <f>VLOOKUP(A54,'Master Account'!$A$4:$E$69,2,FALSE)</f>
        <v>Kas Di Tangan</v>
      </c>
      <c r="E54" s="90"/>
      <c r="F54" s="91"/>
      <c r="G54" s="91">
        <v>412500.0</v>
      </c>
      <c r="H54" s="96"/>
      <c r="I54" s="101"/>
      <c r="J54" s="93"/>
      <c r="K54" s="94"/>
      <c r="L54" s="95"/>
      <c r="M54" s="93"/>
      <c r="N54" s="94"/>
      <c r="O54" s="91"/>
      <c r="P54" s="91"/>
      <c r="Q54" s="91"/>
    </row>
    <row r="55" spans="8:8">
      <c r="A55" s="11">
        <v>11500.0</v>
      </c>
      <c r="B55" s="89"/>
      <c r="C55" s="90"/>
      <c r="D55" s="90" t="str">
        <f>VLOOKUP(A55,'Master Account'!$A$4:$E$69,2,FALSE)</f>
        <v>PERSEDIAAN BARANG DAGANGAN</v>
      </c>
      <c r="E55" s="90"/>
      <c r="F55" s="91">
        <v>325000.0</v>
      </c>
      <c r="G55" s="91"/>
      <c r="H55" s="96" t="s">
        <v>79</v>
      </c>
      <c r="I55" s="101"/>
      <c r="J55" s="93"/>
      <c r="K55" s="94"/>
      <c r="L55" s="101">
        <v>-1.0</v>
      </c>
      <c r="M55" s="93">
        <v>325000.0</v>
      </c>
      <c r="N55" s="94">
        <f>L55*M55</f>
        <v>-325000.0</v>
      </c>
      <c r="O55" s="91"/>
      <c r="P55" s="91"/>
      <c r="Q55" s="91"/>
    </row>
    <row r="56" spans="8:8">
      <c r="A56" s="11">
        <v>51000.0</v>
      </c>
      <c r="B56" s="89"/>
      <c r="C56" s="90"/>
      <c r="D56" s="90" t="str">
        <f>VLOOKUP(A56,'Master Account'!$A$4:$E$69,2,FALSE)</f>
        <v>Harga Pokok Penjualan</v>
      </c>
      <c r="E56" s="90"/>
      <c r="F56" s="91"/>
      <c r="G56" s="91">
        <v>325000.0</v>
      </c>
      <c r="H56" s="96"/>
      <c r="I56" s="101"/>
      <c r="J56" s="93"/>
      <c r="K56" s="94"/>
      <c r="L56" s="95"/>
      <c r="M56" s="93"/>
      <c r="N56" s="94"/>
      <c r="O56" s="91"/>
      <c r="P56" s="91"/>
      <c r="Q56" s="91"/>
    </row>
    <row r="57" spans="8:8">
      <c r="A57" s="96"/>
      <c r="B57" s="90"/>
      <c r="C57" s="90"/>
      <c r="D57" s="90"/>
      <c r="E57" s="90"/>
      <c r="F57" s="91"/>
      <c r="G57" s="91"/>
      <c r="H57" s="96"/>
      <c r="I57" s="101"/>
      <c r="J57" s="93"/>
      <c r="K57" s="94"/>
      <c r="L57" s="95"/>
      <c r="M57" s="93"/>
      <c r="N57" s="94"/>
      <c r="O57" s="91"/>
      <c r="P57" s="91"/>
      <c r="Q57" s="91"/>
    </row>
    <row r="58" spans="8:8">
      <c r="A58" s="11">
        <v>11202.0</v>
      </c>
      <c r="B58" s="89">
        <v>38730.0</v>
      </c>
      <c r="C58" s="90" t="s">
        <v>221</v>
      </c>
      <c r="D58" s="90" t="str">
        <f>VLOOKUP(A58,'Master Account'!$A$4:$E$69,2,FALSE)</f>
        <v>Bank Mandiri</v>
      </c>
      <c r="E58" s="90"/>
      <c r="F58" s="91">
        <v>7500000.0</v>
      </c>
      <c r="G58" s="91"/>
      <c r="H58" s="96"/>
      <c r="I58" s="101"/>
      <c r="J58" s="93"/>
      <c r="K58" s="94"/>
      <c r="L58" s="95"/>
      <c r="M58" s="93"/>
      <c r="N58" s="94"/>
      <c r="O58" s="91"/>
      <c r="P58" s="91"/>
      <c r="Q58" s="91"/>
    </row>
    <row r="59" spans="8:8">
      <c r="A59" s="11">
        <v>11301.0</v>
      </c>
      <c r="B59" s="89"/>
      <c r="C59" s="90"/>
      <c r="D59" s="90" t="str">
        <f>VLOOKUP(A59,'Master Account'!$A$4:$E$69,2,FALSE)</f>
        <v>Piutang Usaha </v>
      </c>
      <c r="E59" s="90" t="s">
        <v>114</v>
      </c>
      <c r="F59" s="91"/>
      <c r="G59" s="91">
        <v>7500000.0</v>
      </c>
      <c r="H59" s="96"/>
      <c r="I59" s="101"/>
      <c r="J59" s="93"/>
      <c r="K59" s="94"/>
      <c r="L59" s="95"/>
      <c r="M59" s="93"/>
      <c r="N59" s="94"/>
      <c r="O59" s="91"/>
      <c r="P59" s="91"/>
      <c r="Q59" s="91"/>
    </row>
    <row r="60" spans="8:8">
      <c r="A60" s="96"/>
      <c r="B60" s="90"/>
      <c r="C60" s="90"/>
      <c r="D60" s="90"/>
      <c r="E60" s="90"/>
      <c r="F60" s="91"/>
      <c r="G60" s="91"/>
      <c r="H60" s="96"/>
      <c r="I60" s="101"/>
      <c r="J60" s="93"/>
      <c r="K60" s="94"/>
      <c r="L60" s="95"/>
      <c r="M60" s="93"/>
      <c r="N60" s="94"/>
      <c r="O60" s="91"/>
      <c r="P60" s="91"/>
      <c r="Q60" s="91"/>
    </row>
    <row r="61" spans="8:8">
      <c r="A61" s="11">
        <v>61004.0</v>
      </c>
      <c r="B61" s="89">
        <v>38735.0</v>
      </c>
      <c r="C61" s="90" t="s">
        <v>222</v>
      </c>
      <c r="D61" s="90" t="str">
        <f>VLOOKUP(A61,'Master Account'!$A$4:$E$69,2,FALSE)</f>
        <v>Beban Listrik</v>
      </c>
      <c r="E61" s="90"/>
      <c r="F61" s="91">
        <v>175000.0</v>
      </c>
      <c r="G61" s="91"/>
      <c r="H61" s="96"/>
      <c r="I61" s="101"/>
      <c r="J61" s="93"/>
      <c r="K61" s="94"/>
      <c r="L61" s="95"/>
      <c r="M61" s="93"/>
      <c r="N61" s="94"/>
      <c r="O61" s="91"/>
      <c r="P61" s="91"/>
      <c r="Q61" s="91"/>
    </row>
    <row r="62" spans="8:8">
      <c r="A62" s="11">
        <v>61005.0</v>
      </c>
      <c r="B62" s="89"/>
      <c r="C62" s="90"/>
      <c r="D62" s="90" t="str">
        <f>VLOOKUP(A62,'Master Account'!$A$4:$E$69,2,FALSE)</f>
        <v>Beban Telepon</v>
      </c>
      <c r="E62" s="90"/>
      <c r="F62" s="91">
        <v>212500.0</v>
      </c>
      <c r="G62" s="91"/>
      <c r="H62" s="96"/>
      <c r="I62" s="101"/>
      <c r="J62" s="93"/>
      <c r="K62" s="94"/>
      <c r="L62" s="95"/>
      <c r="M62" s="93"/>
      <c r="N62" s="94"/>
      <c r="O62" s="91"/>
      <c r="P62" s="91"/>
      <c r="Q62" s="91"/>
    </row>
    <row r="63" spans="8:8">
      <c r="A63" s="11">
        <v>11202.0</v>
      </c>
      <c r="B63" s="89"/>
      <c r="C63" s="90"/>
      <c r="D63" s="90" t="str">
        <f>VLOOKUP(A63,'Master Account'!$A$4:$E$69,2,FALSE)</f>
        <v>Bank Mandiri</v>
      </c>
      <c r="E63" s="90"/>
      <c r="F63" s="91"/>
      <c r="G63" s="91">
        <v>387500.0</v>
      </c>
      <c r="H63" s="96"/>
      <c r="I63" s="101"/>
      <c r="J63" s="93"/>
      <c r="K63" s="94"/>
      <c r="L63" s="95"/>
      <c r="M63" s="93"/>
      <c r="N63" s="94"/>
      <c r="O63" s="91"/>
      <c r="P63" s="91"/>
      <c r="Q63" s="91"/>
    </row>
    <row r="64" spans="8:8">
      <c r="A64" s="96"/>
      <c r="B64" s="90"/>
      <c r="C64" s="90"/>
      <c r="D64" s="90"/>
      <c r="E64" s="90"/>
      <c r="F64" s="91"/>
      <c r="G64" s="91"/>
      <c r="H64" s="96"/>
      <c r="I64" s="101"/>
      <c r="J64" s="93"/>
      <c r="K64" s="94"/>
      <c r="L64" s="95"/>
      <c r="M64" s="93"/>
      <c r="N64" s="94"/>
      <c r="O64" s="91"/>
      <c r="P64" s="91"/>
      <c r="Q64" s="91"/>
    </row>
    <row r="65" spans="8:8">
      <c r="A65" s="11">
        <v>12201.0</v>
      </c>
      <c r="B65" s="89">
        <v>38738.0</v>
      </c>
      <c r="C65" s="90" t="s">
        <v>223</v>
      </c>
      <c r="D65" s="90" t="str">
        <f>VLOOKUP(A65,'Master Account'!$A$4:$E$69,2,FALSE)</f>
        <v>Kendaraan</v>
      </c>
      <c r="E65" s="90"/>
      <c r="F65" s="91">
        <v>1.15E7</v>
      </c>
      <c r="G65" s="91"/>
      <c r="H65" s="96"/>
      <c r="I65" s="101"/>
      <c r="J65" s="93"/>
      <c r="K65" s="94"/>
      <c r="L65" s="95"/>
      <c r="M65" s="93"/>
      <c r="N65" s="94"/>
      <c r="O65" s="91"/>
      <c r="P65" s="91"/>
      <c r="Q65" s="91"/>
    </row>
    <row r="66" spans="8:8">
      <c r="A66" s="11">
        <v>11201.0</v>
      </c>
      <c r="B66" s="89"/>
      <c r="C66" s="90"/>
      <c r="D66" s="90" t="str">
        <f>VLOOKUP(A66,'Master Account'!$A$4:$E$69,2,FALSE)</f>
        <v>Bank BCA</v>
      </c>
      <c r="E66" s="90"/>
      <c r="F66" s="91"/>
      <c r="G66" s="91">
        <v>1.15E7</v>
      </c>
      <c r="H66" s="96"/>
      <c r="I66" s="101"/>
      <c r="J66" s="93"/>
      <c r="K66" s="94"/>
      <c r="L66" s="95"/>
      <c r="M66" s="93"/>
      <c r="N66" s="94"/>
      <c r="O66" s="91"/>
      <c r="P66" s="91"/>
      <c r="Q66" s="91"/>
    </row>
    <row r="67" spans="8:8">
      <c r="A67" s="96"/>
      <c r="B67" s="90"/>
      <c r="C67" s="90"/>
      <c r="D67" s="90"/>
      <c r="E67" s="90"/>
      <c r="F67" s="91"/>
      <c r="G67" s="91"/>
      <c r="H67" s="96"/>
      <c r="I67" s="101"/>
      <c r="J67" s="93"/>
      <c r="K67" s="94"/>
      <c r="L67" s="95"/>
      <c r="M67" s="93"/>
      <c r="N67" s="94"/>
      <c r="O67" s="91"/>
      <c r="P67" s="91"/>
      <c r="Q67" s="91"/>
    </row>
    <row r="68" spans="8:8">
      <c r="A68" s="11">
        <v>11301.0</v>
      </c>
      <c r="B68" s="89">
        <v>38739.0</v>
      </c>
      <c r="C68" s="102" t="s">
        <v>224</v>
      </c>
      <c r="D68" s="90" t="str">
        <f>VLOOKUP(A68,'Master Account'!$A$4:$E$69,2,FALSE)</f>
        <v>Piutang Usaha </v>
      </c>
      <c r="E68" s="90" t="s">
        <v>112</v>
      </c>
      <c r="F68" s="91">
        <v>2.9425E7</v>
      </c>
      <c r="G68" s="91"/>
      <c r="H68" s="96"/>
      <c r="I68" s="101"/>
      <c r="J68" s="93"/>
      <c r="K68" s="94"/>
      <c r="L68" s="95"/>
      <c r="M68" s="93"/>
      <c r="N68" s="94"/>
      <c r="O68" s="91"/>
      <c r="P68" s="91"/>
      <c r="Q68" s="91"/>
    </row>
    <row r="69" spans="8:8" s="12" ht="15.0" customFormat="1">
      <c r="A69" s="11">
        <v>41000.0</v>
      </c>
      <c r="B69" s="89"/>
      <c r="C69" s="102"/>
      <c r="D69" s="90" t="str">
        <f>VLOOKUP(A69,'Master Account'!$A$4:$E$69,2,FALSE)</f>
        <v>Penjualan </v>
      </c>
      <c r="E69" s="90"/>
      <c r="F69" s="91"/>
      <c r="G69" s="91">
        <v>2.675E7</v>
      </c>
      <c r="H69" s="96"/>
      <c r="I69" s="101"/>
      <c r="J69" s="93"/>
      <c r="K69" s="94"/>
      <c r="L69" s="95"/>
      <c r="M69" s="93"/>
      <c r="N69" s="94"/>
      <c r="O69" s="91"/>
      <c r="P69" s="91"/>
      <c r="Q69" s="91"/>
    </row>
    <row r="70" spans="8:8" s="12" ht="15.0" customFormat="1">
      <c r="A70" s="11">
        <v>21403.0</v>
      </c>
      <c r="B70" s="89"/>
      <c r="C70" s="102"/>
      <c r="D70" s="90" t="str">
        <f>VLOOKUP(A70,'Master Account'!$A$4:$E$69,2,FALSE)</f>
        <v>PPN Keluaran </v>
      </c>
      <c r="E70" s="90"/>
      <c r="F70" s="91"/>
      <c r="G70" s="91">
        <v>2675000.0</v>
      </c>
      <c r="H70" s="96"/>
      <c r="I70" s="101"/>
      <c r="J70" s="93"/>
      <c r="K70" s="94"/>
      <c r="L70" s="95"/>
      <c r="M70" s="93"/>
      <c r="N70" s="94"/>
      <c r="O70" s="91"/>
      <c r="P70" s="91"/>
      <c r="Q70" s="91"/>
    </row>
    <row r="71" spans="8:8" s="12" ht="15.0" customFormat="1">
      <c r="A71" s="11">
        <v>51000.0</v>
      </c>
      <c r="B71" s="89"/>
      <c r="C71" s="102"/>
      <c r="D71" s="90" t="str">
        <f>VLOOKUP(A71,'Master Account'!$A$4:$E$69,2,FALSE)</f>
        <v>Harga Pokok Penjualan</v>
      </c>
      <c r="E71" s="90"/>
      <c r="F71" s="91">
        <f>SUM(G72:G74)</f>
        <v>2.194E7</v>
      </c>
      <c r="G71" s="91"/>
      <c r="H71" s="96"/>
      <c r="I71" s="101"/>
      <c r="J71" s="93"/>
      <c r="K71" s="94"/>
      <c r="L71" s="95"/>
      <c r="M71" s="93"/>
      <c r="N71" s="94"/>
      <c r="O71" s="91"/>
      <c r="P71" s="91"/>
      <c r="Q71" s="91"/>
    </row>
    <row r="72" spans="8:8" s="12" ht="15.0" customFormat="1">
      <c r="A72" s="11">
        <v>11500.0</v>
      </c>
      <c r="B72" s="89"/>
      <c r="C72" s="102"/>
      <c r="D72" s="90" t="str">
        <f>VLOOKUP(A72,'Master Account'!$A$4:$E$69,2,FALSE)</f>
        <v>PERSEDIAAN BARANG DAGANGAN</v>
      </c>
      <c r="E72" s="90"/>
      <c r="F72" s="91"/>
      <c r="G72" s="91">
        <v>7000000.0</v>
      </c>
      <c r="H72" s="96" t="s">
        <v>81</v>
      </c>
      <c r="I72" s="101"/>
      <c r="J72" s="93"/>
      <c r="K72" s="94"/>
      <c r="L72" s="101">
        <v>5.0</v>
      </c>
      <c r="M72" s="93">
        <v>1400000.0</v>
      </c>
      <c r="N72" s="94">
        <f>L72*M72</f>
        <v>7000000.0</v>
      </c>
      <c r="O72" s="91"/>
      <c r="P72" s="91"/>
      <c r="Q72" s="91"/>
    </row>
    <row r="73" spans="8:8" s="12" ht="15.0" customFormat="1">
      <c r="A73" s="11">
        <v>11500.0</v>
      </c>
      <c r="B73" s="89"/>
      <c r="C73" s="102"/>
      <c r="D73" s="90" t="str">
        <f>VLOOKUP(A73,'Master Account'!$A$4:$E$69,2,FALSE)</f>
        <v>PERSEDIAAN BARANG DAGANGAN</v>
      </c>
      <c r="E73" s="90"/>
      <c r="F73" s="91"/>
      <c r="G73" s="91">
        <v>1.14E7</v>
      </c>
      <c r="H73" s="96" t="s">
        <v>85</v>
      </c>
      <c r="I73" s="101"/>
      <c r="J73" s="93"/>
      <c r="K73" s="94"/>
      <c r="L73" s="101">
        <v>4.0</v>
      </c>
      <c r="M73" s="93">
        <v>2850000.0</v>
      </c>
      <c r="N73" s="94">
        <f>L73*M73</f>
        <v>1.14E7</v>
      </c>
      <c r="O73" s="91"/>
      <c r="P73" s="91"/>
      <c r="Q73" s="91"/>
    </row>
    <row r="74" spans="8:8" s="12" ht="15.0" customFormat="1">
      <c r="A74" s="11">
        <v>11500.0</v>
      </c>
      <c r="B74" s="89"/>
      <c r="C74" s="102"/>
      <c r="D74" s="90" t="str">
        <f>VLOOKUP(A74,'Master Account'!$A$4:$E$69,2,FALSE)</f>
        <v>PERSEDIAAN BARANG DAGANGAN</v>
      </c>
      <c r="E74" s="90"/>
      <c r="F74" s="91"/>
      <c r="G74" s="91">
        <v>3540000.0</v>
      </c>
      <c r="H74" s="96" t="s">
        <v>87</v>
      </c>
      <c r="I74" s="101"/>
      <c r="J74" s="93"/>
      <c r="K74" s="94"/>
      <c r="L74" s="101">
        <v>6.0</v>
      </c>
      <c r="M74" s="93">
        <v>590000.0</v>
      </c>
      <c r="N74" s="94">
        <f>L74*M74</f>
        <v>3540000.0</v>
      </c>
      <c r="O74" s="91"/>
      <c r="P74" s="91"/>
      <c r="Q74" s="91"/>
    </row>
    <row r="75" spans="8:8" s="12" ht="15.0" customFormat="1">
      <c r="A75" s="96"/>
      <c r="B75" s="90"/>
      <c r="C75" s="90"/>
      <c r="D75" s="90"/>
      <c r="E75" s="90"/>
      <c r="F75" s="91"/>
      <c r="G75" s="91"/>
      <c r="H75" s="96"/>
      <c r="I75" s="101"/>
      <c r="J75" s="93"/>
      <c r="K75" s="94"/>
      <c r="L75" s="95"/>
      <c r="M75" s="93"/>
      <c r="N75" s="94"/>
      <c r="O75" s="91"/>
      <c r="P75" s="91"/>
      <c r="Q75" s="91"/>
    </row>
    <row r="76" spans="8:8" s="12" ht="15.0" customFormat="1">
      <c r="A76" s="11">
        <v>11301.0</v>
      </c>
      <c r="B76" s="89">
        <v>38740.0</v>
      </c>
      <c r="C76" s="90" t="s">
        <v>225</v>
      </c>
      <c r="D76" s="90" t="str">
        <f>VLOOKUP(A76,'Master Account'!$A$4:$E$69,2,FALSE)</f>
        <v>Piutang Usaha </v>
      </c>
      <c r="E76" s="90" t="s">
        <v>109</v>
      </c>
      <c r="F76" s="91">
        <v>3.0535E7</v>
      </c>
      <c r="G76" s="91"/>
      <c r="H76" s="96"/>
      <c r="I76" s="101"/>
      <c r="J76" s="93"/>
      <c r="K76" s="94"/>
      <c r="L76" s="95"/>
      <c r="M76" s="93"/>
      <c r="N76" s="94"/>
      <c r="O76" s="91"/>
      <c r="P76" s="91"/>
      <c r="Q76" s="91"/>
    </row>
    <row r="77" spans="8:8" s="12" ht="15.0" customFormat="1">
      <c r="A77" s="11">
        <v>11202.0</v>
      </c>
      <c r="B77" s="89"/>
      <c r="C77" s="90"/>
      <c r="D77" s="90" t="str">
        <f>VLOOKUP(A77,'Master Account'!$A$4:$E$69,2,FALSE)</f>
        <v>Bank Mandiri</v>
      </c>
      <c r="E77" s="90"/>
      <c r="F77" s="91">
        <v>1.0E7</v>
      </c>
      <c r="G77" s="91"/>
      <c r="H77" s="96"/>
      <c r="I77" s="101"/>
      <c r="J77" s="93"/>
      <c r="K77" s="94"/>
      <c r="L77" s="95"/>
      <c r="M77" s="93"/>
      <c r="N77" s="94"/>
      <c r="O77" s="91"/>
      <c r="P77" s="91"/>
      <c r="Q77" s="91"/>
    </row>
    <row r="78" spans="8:8" s="12" ht="15.0" customFormat="1">
      <c r="A78" s="11">
        <v>21403.0</v>
      </c>
      <c r="B78" s="89"/>
      <c r="C78" s="90"/>
      <c r="D78" s="90" t="str">
        <f>VLOOKUP(A78,'Master Account'!$A$4:$E$69,2,FALSE)</f>
        <v>PPN Keluaran </v>
      </c>
      <c r="E78" s="90"/>
      <c r="F78" s="91"/>
      <c r="G78" s="91">
        <v>3685000.0</v>
      </c>
      <c r="H78" s="96"/>
      <c r="I78" s="101"/>
      <c r="J78" s="93"/>
      <c r="K78" s="94"/>
      <c r="L78" s="95"/>
      <c r="M78" s="93"/>
      <c r="N78" s="94"/>
      <c r="O78" s="91"/>
      <c r="P78" s="91"/>
      <c r="Q78" s="91"/>
    </row>
    <row r="79" spans="8:8" s="12" ht="15.0" customFormat="1">
      <c r="A79" s="11">
        <v>41000.0</v>
      </c>
      <c r="B79" s="89"/>
      <c r="C79" s="90"/>
      <c r="D79" s="90" t="str">
        <f>VLOOKUP(A79,'Master Account'!$A$4:$E$69,2,FALSE)</f>
        <v>Penjualan </v>
      </c>
      <c r="E79" s="90"/>
      <c r="F79" s="91"/>
      <c r="G79" s="91">
        <v>3.685E7</v>
      </c>
      <c r="H79" s="96"/>
      <c r="I79" s="101"/>
      <c r="J79" s="93"/>
      <c r="K79" s="94"/>
      <c r="L79" s="95"/>
      <c r="M79" s="93"/>
      <c r="N79" s="94"/>
      <c r="O79" s="91"/>
      <c r="P79" s="91"/>
      <c r="Q79" s="91"/>
    </row>
    <row r="80" spans="8:8" s="12" ht="15.0" customFormat="1">
      <c r="A80" s="11">
        <v>51000.0</v>
      </c>
      <c r="B80" s="89"/>
      <c r="C80" s="90"/>
      <c r="D80" s="90" t="str">
        <f>VLOOKUP(A80,'Master Account'!$A$4:$E$69,2,FALSE)</f>
        <v>Harga Pokok Penjualan</v>
      </c>
      <c r="E80" s="90"/>
      <c r="F80" s="91">
        <f>SUM(G81:G83)</f>
        <v>2.915E7</v>
      </c>
      <c r="G80" s="91"/>
      <c r="H80" s="96"/>
      <c r="I80" s="101"/>
      <c r="J80" s="93"/>
      <c r="K80" s="94"/>
      <c r="L80" s="95"/>
      <c r="M80" s="93"/>
      <c r="N80" s="94"/>
      <c r="O80" s="91"/>
      <c r="P80" s="91"/>
      <c r="Q80" s="91"/>
    </row>
    <row r="81" spans="8:8" s="12" ht="15.0" customFormat="1">
      <c r="A81" s="11">
        <v>11500.0</v>
      </c>
      <c r="B81" s="89"/>
      <c r="C81" s="90"/>
      <c r="D81" s="90" t="str">
        <f>VLOOKUP(A81,'Master Account'!$A$4:$E$69,2,FALSE)</f>
        <v>PERSEDIAAN BARANG DAGANGAN</v>
      </c>
      <c r="E81" s="90"/>
      <c r="F81" s="91"/>
      <c r="G81" s="91">
        <v>7800000.0</v>
      </c>
      <c r="H81" s="96" t="s">
        <v>89</v>
      </c>
      <c r="I81" s="101"/>
      <c r="J81" s="93"/>
      <c r="K81" s="94"/>
      <c r="L81" s="101">
        <v>6.0</v>
      </c>
      <c r="M81" s="93">
        <v>1300000.0</v>
      </c>
      <c r="N81" s="94">
        <f>L81*M81</f>
        <v>7800000.0</v>
      </c>
      <c r="O81" s="91"/>
      <c r="P81" s="91"/>
      <c r="Q81" s="91"/>
    </row>
    <row r="82" spans="8:8" s="12" ht="15.0" customFormat="1">
      <c r="A82" s="11">
        <v>11500.0</v>
      </c>
      <c r="B82" s="89"/>
      <c r="C82" s="90"/>
      <c r="D82" s="90" t="str">
        <f>VLOOKUP(A82,'Master Account'!$A$4:$E$69,2,FALSE)</f>
        <v>PERSEDIAAN BARANG DAGANGAN</v>
      </c>
      <c r="E82" s="90"/>
      <c r="F82" s="91"/>
      <c r="G82" s="91">
        <v>1.4E7</v>
      </c>
      <c r="H82" s="96" t="s">
        <v>91</v>
      </c>
      <c r="I82" s="101"/>
      <c r="J82" s="93"/>
      <c r="K82" s="94"/>
      <c r="L82" s="101">
        <v>8.0</v>
      </c>
      <c r="M82" s="93">
        <v>1750000.0</v>
      </c>
      <c r="N82" s="94">
        <f>L82*M82</f>
        <v>1.4E7</v>
      </c>
      <c r="O82" s="91"/>
      <c r="P82" s="91"/>
      <c r="Q82" s="91"/>
    </row>
    <row r="83" spans="8:8" s="12" ht="15.0" customFormat="1">
      <c r="A83" s="11">
        <v>11500.0</v>
      </c>
      <c r="B83" s="89"/>
      <c r="C83" s="90"/>
      <c r="D83" s="90" t="str">
        <f>VLOOKUP(A83,'Master Account'!$A$4:$E$69,2,FALSE)</f>
        <v>PERSEDIAAN BARANG DAGANGAN</v>
      </c>
      <c r="E83" s="90"/>
      <c r="F83" s="91"/>
      <c r="G83" s="91">
        <v>7350000.0</v>
      </c>
      <c r="H83" s="96" t="s">
        <v>93</v>
      </c>
      <c r="I83" s="101"/>
      <c r="J83" s="93"/>
      <c r="K83" s="94"/>
      <c r="L83" s="101">
        <v>7.0</v>
      </c>
      <c r="M83" s="93">
        <v>1050000.0</v>
      </c>
      <c r="N83" s="94">
        <f>L83*M83</f>
        <v>7350000.0</v>
      </c>
      <c r="O83" s="91"/>
      <c r="P83" s="91"/>
      <c r="Q83" s="91"/>
    </row>
    <row r="84" spans="8:8" s="12" ht="15.0" customFormat="1">
      <c r="A84" s="96"/>
      <c r="B84" s="90"/>
      <c r="C84" s="90"/>
      <c r="D84" s="90"/>
      <c r="E84" s="90"/>
      <c r="F84" s="91"/>
      <c r="G84" s="91"/>
      <c r="H84" s="96"/>
      <c r="I84" s="101"/>
      <c r="J84" s="93"/>
      <c r="K84" s="94"/>
      <c r="L84" s="95"/>
      <c r="M84" s="93"/>
      <c r="N84" s="94"/>
      <c r="O84" s="91"/>
      <c r="P84" s="91"/>
      <c r="Q84" s="91"/>
    </row>
    <row r="85" spans="8:8" s="12" ht="15.0" customFormat="1">
      <c r="A85" s="11">
        <v>42000.0</v>
      </c>
      <c r="B85" s="89">
        <v>38741.0</v>
      </c>
      <c r="C85" s="90" t="s">
        <v>226</v>
      </c>
      <c r="D85" s="90" t="str">
        <f>VLOOKUP(A85,'Master Account'!$A$4:$E$69,2,FALSE)</f>
        <v>Retur Penjualan </v>
      </c>
      <c r="E85" s="90"/>
      <c r="F85" s="91">
        <v>1750000.0</v>
      </c>
      <c r="G85" s="91"/>
      <c r="H85" s="96"/>
      <c r="I85" s="101"/>
      <c r="J85" s="93"/>
      <c r="K85" s="94"/>
      <c r="L85" s="95"/>
      <c r="M85" s="93"/>
      <c r="N85" s="94"/>
      <c r="O85" s="91"/>
      <c r="P85" s="91"/>
      <c r="Q85" s="91"/>
    </row>
    <row r="86" spans="8:8" s="12" ht="15.0" customFormat="1">
      <c r="A86" s="11">
        <v>21403.0</v>
      </c>
      <c r="B86" s="89"/>
      <c r="C86" s="90"/>
      <c r="D86" s="90" t="str">
        <f>VLOOKUP(A86,'Master Account'!$A$4:$E$69,2,FALSE)</f>
        <v>PPN Keluaran </v>
      </c>
      <c r="E86" s="90"/>
      <c r="F86" s="91">
        <v>175000.0</v>
      </c>
      <c r="G86" s="91"/>
      <c r="H86" s="96"/>
      <c r="I86" s="101"/>
      <c r="J86" s="93"/>
      <c r="K86" s="94"/>
      <c r="L86" s="95"/>
      <c r="M86" s="93"/>
      <c r="N86" s="94"/>
      <c r="O86" s="91"/>
      <c r="P86" s="91"/>
      <c r="Q86" s="91"/>
    </row>
    <row r="87" spans="8:8" s="12" ht="15.0" customFormat="1">
      <c r="A87" s="11">
        <v>11301.0</v>
      </c>
      <c r="B87" s="89"/>
      <c r="C87" s="90"/>
      <c r="D87" s="90" t="str">
        <f>VLOOKUP(A87,'Master Account'!$A$4:$E$69,2,FALSE)</f>
        <v>Piutang Usaha </v>
      </c>
      <c r="E87" s="90" t="s">
        <v>112</v>
      </c>
      <c r="F87" s="91"/>
      <c r="G87" s="91">
        <v>1925000.0</v>
      </c>
      <c r="H87" s="96"/>
      <c r="I87" s="101"/>
      <c r="J87" s="93"/>
      <c r="K87" s="94"/>
      <c r="L87" s="95"/>
      <c r="M87" s="93"/>
      <c r="N87" s="94"/>
      <c r="O87" s="91"/>
      <c r="P87" s="91"/>
      <c r="Q87" s="91"/>
    </row>
    <row r="88" spans="8:8" s="12" ht="15.0" customFormat="1">
      <c r="A88" s="11">
        <v>11500.0</v>
      </c>
      <c r="B88" s="89"/>
      <c r="C88" s="90"/>
      <c r="D88" s="90" t="str">
        <f>VLOOKUP(A88,'Master Account'!$A$4:$E$69,2,FALSE)</f>
        <v>PERSEDIAAN BARANG DAGANGAN</v>
      </c>
      <c r="E88" s="90"/>
      <c r="F88" s="91">
        <v>1400000.0</v>
      </c>
      <c r="G88" s="91"/>
      <c r="H88" s="96" t="s">
        <v>81</v>
      </c>
      <c r="I88" s="101"/>
      <c r="J88" s="93"/>
      <c r="K88" s="94"/>
      <c r="L88" s="101">
        <v>-1.0</v>
      </c>
      <c r="M88" s="93">
        <v>1400000.0</v>
      </c>
      <c r="N88" s="94">
        <f>L88*M88</f>
        <v>-1400000.0</v>
      </c>
      <c r="O88" s="91"/>
      <c r="P88" s="91"/>
      <c r="Q88" s="91"/>
    </row>
    <row r="89" spans="8:8" s="12" ht="15.0" customFormat="1">
      <c r="A89" s="11">
        <v>51000.0</v>
      </c>
      <c r="B89" s="89"/>
      <c r="C89" s="90"/>
      <c r="D89" s="90" t="str">
        <f>VLOOKUP(A89,'Master Account'!$A$4:$E$69,2,FALSE)</f>
        <v>Harga Pokok Penjualan</v>
      </c>
      <c r="E89" s="90"/>
      <c r="F89" s="91"/>
      <c r="G89" s="91">
        <v>1400000.0</v>
      </c>
      <c r="H89" s="96"/>
      <c r="I89" s="101"/>
      <c r="J89" s="93"/>
      <c r="K89" s="94"/>
      <c r="L89" s="95"/>
      <c r="M89" s="93"/>
      <c r="N89" s="94"/>
      <c r="O89" s="91"/>
      <c r="P89" s="91"/>
      <c r="Q89" s="91"/>
    </row>
    <row r="90" spans="8:8" s="12" ht="15.0" customFormat="1">
      <c r="A90" s="11"/>
      <c r="B90" s="90"/>
      <c r="C90" s="90"/>
      <c r="D90" s="90"/>
      <c r="E90" s="90"/>
      <c r="F90" s="91"/>
      <c r="G90" s="91"/>
      <c r="H90" s="96"/>
      <c r="I90" s="101"/>
      <c r="J90" s="93"/>
      <c r="K90" s="94"/>
      <c r="L90" s="95"/>
      <c r="M90" s="93"/>
      <c r="N90" s="94"/>
      <c r="O90" s="91"/>
      <c r="P90" s="91"/>
      <c r="Q90" s="91"/>
    </row>
    <row r="91" spans="8:8" s="12" ht="15.0" customFormat="1">
      <c r="A91" s="11">
        <v>11202.0</v>
      </c>
      <c r="B91" s="89">
        <v>38743.0</v>
      </c>
      <c r="C91" s="90" t="s">
        <v>227</v>
      </c>
      <c r="D91" s="90" t="str">
        <f>VLOOKUP(A91,'Master Account'!$A$4:$E$69,2,FALSE)</f>
        <v>Bank Mandiri</v>
      </c>
      <c r="E91" s="90"/>
      <c r="F91" s="91">
        <v>3.1559E7</v>
      </c>
      <c r="G91" s="91"/>
      <c r="H91" s="96"/>
      <c r="I91" s="101"/>
      <c r="J91" s="93"/>
      <c r="K91" s="94"/>
      <c r="L91" s="95"/>
      <c r="M91" s="93"/>
      <c r="N91" s="94"/>
      <c r="O91" s="91"/>
      <c r="P91" s="91"/>
      <c r="Q91" s="91"/>
    </row>
    <row r="92" spans="8:8" s="12" ht="15.0" customFormat="1">
      <c r="A92" s="11">
        <v>43000.0</v>
      </c>
      <c r="B92" s="89"/>
      <c r="C92" s="90"/>
      <c r="D92" s="90" t="str">
        <f>VLOOKUP(A92,'Master Account'!$A$4:$E$69,2,FALSE)</f>
        <v>Potongan Penjualan</v>
      </c>
      <c r="E92" s="90"/>
      <c r="F92" s="91">
        <v>1510000.0</v>
      </c>
      <c r="G92" s="91"/>
      <c r="H92" s="96"/>
      <c r="I92" s="101"/>
      <c r="J92" s="93"/>
      <c r="K92" s="94"/>
      <c r="L92" s="95"/>
      <c r="M92" s="93"/>
      <c r="N92" s="94"/>
      <c r="O92" s="91"/>
      <c r="P92" s="91"/>
      <c r="Q92" s="91"/>
    </row>
    <row r="93" spans="8:8" s="12" ht="15.0" customFormat="1">
      <c r="A93" s="11">
        <v>21403.0</v>
      </c>
      <c r="B93" s="89"/>
      <c r="C93" s="90"/>
      <c r="D93" s="90" t="str">
        <f>VLOOKUP(A93,'Master Account'!$A$4:$E$69,2,FALSE)</f>
        <v>PPN Keluaran </v>
      </c>
      <c r="E93" s="90"/>
      <c r="F93" s="91"/>
      <c r="G93" s="91">
        <v>2869000.0</v>
      </c>
      <c r="H93" s="96"/>
      <c r="I93" s="101"/>
      <c r="J93" s="93"/>
      <c r="K93" s="94"/>
      <c r="L93" s="95"/>
      <c r="M93" s="93"/>
      <c r="N93" s="94"/>
      <c r="O93" s="91"/>
      <c r="P93" s="91"/>
      <c r="Q93" s="91"/>
    </row>
    <row r="94" spans="8:8" s="12" ht="15.0" customFormat="1">
      <c r="A94" s="11">
        <v>41000.0</v>
      </c>
      <c r="B94" s="89"/>
      <c r="C94" s="90"/>
      <c r="D94" s="90" t="str">
        <f>VLOOKUP(A94,'Master Account'!$A$4:$E$69,2,FALSE)</f>
        <v>Penjualan </v>
      </c>
      <c r="E94" s="90"/>
      <c r="F94" s="91"/>
      <c r="G94" s="91">
        <v>3.02E7</v>
      </c>
      <c r="H94" s="96"/>
      <c r="I94" s="101"/>
      <c r="J94" s="93"/>
      <c r="K94" s="94"/>
      <c r="L94" s="95"/>
      <c r="M94" s="93"/>
      <c r="N94" s="94"/>
      <c r="O94" s="91"/>
      <c r="P94" s="91"/>
      <c r="Q94" s="91"/>
    </row>
    <row r="95" spans="8:8" s="12" ht="15.0" customFormat="1">
      <c r="A95" s="11">
        <v>51000.0</v>
      </c>
      <c r="B95" s="89"/>
      <c r="C95" s="90"/>
      <c r="D95" s="90" t="str">
        <f>VLOOKUP(A95,'Master Account'!$A$4:$E$69,2,FALSE)</f>
        <v>Harga Pokok Penjualan</v>
      </c>
      <c r="E95" s="90"/>
      <c r="F95" s="91">
        <f>SUM(G96:G98)</f>
        <v>2.425E7</v>
      </c>
      <c r="G95" s="91"/>
      <c r="H95" s="96"/>
      <c r="I95" s="101"/>
      <c r="J95" s="93"/>
      <c r="K95" s="94"/>
      <c r="L95" s="95"/>
      <c r="M95" s="93"/>
      <c r="N95" s="94"/>
      <c r="O95" s="91"/>
      <c r="P95" s="91"/>
      <c r="Q95" s="91"/>
    </row>
    <row r="96" spans="8:8" s="12" ht="15.0" customFormat="1">
      <c r="A96" s="11">
        <v>11500.0</v>
      </c>
      <c r="B96" s="89"/>
      <c r="C96" s="90"/>
      <c r="D96" s="90" t="str">
        <f>VLOOKUP(A96,'Master Account'!$A$4:$E$69,2,FALSE)</f>
        <v>PERSEDIAAN BARANG DAGANGAN</v>
      </c>
      <c r="E96" s="90"/>
      <c r="F96" s="91"/>
      <c r="G96" s="91">
        <v>1.12E7</v>
      </c>
      <c r="H96" s="96" t="s">
        <v>81</v>
      </c>
      <c r="I96" s="101"/>
      <c r="J96" s="93"/>
      <c r="K96" s="94"/>
      <c r="L96" s="101">
        <v>8.0</v>
      </c>
      <c r="M96" s="93">
        <v>1400000.0</v>
      </c>
      <c r="N96" s="94">
        <f>L96*M96</f>
        <v>1.12E7</v>
      </c>
      <c r="O96" s="91"/>
      <c r="P96" s="91"/>
      <c r="Q96" s="91"/>
    </row>
    <row r="97" spans="8:8" s="12" ht="15.0" customFormat="1">
      <c r="A97" s="11">
        <v>11500.0</v>
      </c>
      <c r="B97" s="89"/>
      <c r="C97" s="90"/>
      <c r="D97" s="90" t="str">
        <f>VLOOKUP(A97,'Master Account'!$A$4:$E$69,2,FALSE)</f>
        <v>PERSEDIAAN BARANG DAGANGAN</v>
      </c>
      <c r="E97" s="90"/>
      <c r="F97" s="91"/>
      <c r="G97" s="91">
        <v>7800000.0</v>
      </c>
      <c r="H97" s="96" t="s">
        <v>89</v>
      </c>
      <c r="I97" s="101"/>
      <c r="J97" s="93"/>
      <c r="K97" s="94"/>
      <c r="L97" s="101">
        <v>6.0</v>
      </c>
      <c r="M97" s="93">
        <v>1300000.0</v>
      </c>
      <c r="N97" s="94">
        <f>L97*M97</f>
        <v>7800000.0</v>
      </c>
      <c r="O97" s="91"/>
      <c r="P97" s="91"/>
      <c r="Q97" s="91"/>
    </row>
    <row r="98" spans="8:8" s="12" ht="15.0" customFormat="1">
      <c r="A98" s="11">
        <v>11500.0</v>
      </c>
      <c r="B98" s="89"/>
      <c r="C98" s="90"/>
      <c r="D98" s="90" t="str">
        <f>VLOOKUP(A98,'Master Account'!$A$4:$E$69,2,FALSE)</f>
        <v>PERSEDIAAN BARANG DAGANGAN</v>
      </c>
      <c r="E98" s="90"/>
      <c r="F98" s="91"/>
      <c r="G98" s="91">
        <v>5250000.0</v>
      </c>
      <c r="H98" s="96" t="s">
        <v>91</v>
      </c>
      <c r="I98" s="101"/>
      <c r="J98" s="93"/>
      <c r="K98" s="94"/>
      <c r="L98" s="101">
        <v>3.0</v>
      </c>
      <c r="M98" s="93">
        <v>1750000.0</v>
      </c>
      <c r="N98" s="94">
        <f>L98*M98</f>
        <v>5250000.0</v>
      </c>
      <c r="O98" s="91"/>
      <c r="P98" s="91"/>
      <c r="Q98" s="91"/>
    </row>
    <row r="99" spans="8:8" s="12" ht="15.0" customFormat="1">
      <c r="A99" s="96"/>
      <c r="B99" s="90"/>
      <c r="C99" s="90"/>
      <c r="D99" s="90"/>
      <c r="E99" s="90"/>
      <c r="F99" s="91"/>
      <c r="G99" s="91"/>
      <c r="H99" s="96"/>
      <c r="I99" s="101"/>
      <c r="J99" s="93"/>
      <c r="K99" s="94"/>
      <c r="L99" s="95"/>
      <c r="M99" s="93"/>
      <c r="N99" s="94"/>
      <c r="O99" s="91"/>
      <c r="P99" s="91"/>
      <c r="Q99" s="91"/>
    </row>
    <row r="100" spans="8:8">
      <c r="A100" s="11">
        <v>11401.0</v>
      </c>
      <c r="B100" s="89">
        <v>38744.0</v>
      </c>
      <c r="C100" s="90" t="s">
        <v>228</v>
      </c>
      <c r="D100" s="90" t="str">
        <f>VLOOKUP(A100,'Master Account'!$A$4:$E$69,2,FALSE)</f>
        <v>Piutang Karyawan</v>
      </c>
      <c r="E100" s="90" t="s">
        <v>229</v>
      </c>
      <c r="F100" s="91">
        <v>2500000.0</v>
      </c>
      <c r="G100" s="91"/>
      <c r="H100" s="96"/>
      <c r="I100" s="101"/>
      <c r="J100" s="93"/>
      <c r="K100" s="94"/>
      <c r="L100" s="95"/>
      <c r="M100" s="93"/>
      <c r="N100" s="94"/>
      <c r="O100" s="91"/>
      <c r="P100" s="91"/>
      <c r="Q100" s="91"/>
    </row>
    <row r="101" spans="8:8">
      <c r="A101" s="11">
        <v>11201.0</v>
      </c>
      <c r="B101" s="89"/>
      <c r="C101" s="90"/>
      <c r="D101" s="90" t="str">
        <f>VLOOKUP(A101,'Master Account'!$A$4:$E$69,2,FALSE)</f>
        <v>Bank BCA</v>
      </c>
      <c r="E101" s="90"/>
      <c r="F101" s="91"/>
      <c r="G101" s="91">
        <v>2500000.0</v>
      </c>
      <c r="H101" s="96"/>
      <c r="I101" s="101"/>
      <c r="J101" s="93"/>
      <c r="K101" s="94"/>
      <c r="L101" s="95"/>
      <c r="M101" s="93"/>
      <c r="N101" s="94"/>
      <c r="O101" s="91"/>
      <c r="P101" s="91"/>
      <c r="Q101" s="91"/>
    </row>
    <row r="102" spans="8:8" s="12" ht="15.0" customFormat="1">
      <c r="A102" s="103"/>
      <c r="B102" s="104"/>
      <c r="C102" s="105"/>
      <c r="D102" s="90"/>
      <c r="E102" s="105"/>
      <c r="F102" s="106"/>
      <c r="G102" s="106"/>
      <c r="H102" s="96"/>
      <c r="I102" s="101"/>
      <c r="J102" s="93"/>
      <c r="K102" s="94"/>
      <c r="L102" s="95"/>
      <c r="M102" s="93"/>
      <c r="N102" s="94"/>
      <c r="O102" s="91"/>
      <c r="P102" s="91"/>
      <c r="Q102" s="91"/>
    </row>
    <row r="103" spans="8:8" s="12" ht="15.0" customFormat="1">
      <c r="A103" s="11">
        <v>21100.0</v>
      </c>
      <c r="B103" s="104">
        <v>38745.0</v>
      </c>
      <c r="C103" s="105" t="s">
        <v>230</v>
      </c>
      <c r="D103" s="90" t="str">
        <f>VLOOKUP(A103,'Master Account'!$A$4:$E$69,2,FALSE)</f>
        <v>Hutang Usaha</v>
      </c>
      <c r="E103" s="105" t="s">
        <v>126</v>
      </c>
      <c r="F103" s="106">
        <v>2.2E7</v>
      </c>
      <c r="G103" s="106"/>
      <c r="H103" s="96"/>
      <c r="I103" s="101"/>
      <c r="J103" s="93"/>
      <c r="K103" s="94"/>
      <c r="L103" s="95"/>
      <c r="M103" s="93"/>
      <c r="N103" s="94"/>
      <c r="O103" s="91"/>
      <c r="P103" s="91"/>
      <c r="Q103" s="91"/>
    </row>
    <row r="104" spans="8:8" s="12" ht="15.0" customFormat="1">
      <c r="A104" s="11">
        <v>11201.0</v>
      </c>
      <c r="B104" s="104"/>
      <c r="C104" s="105"/>
      <c r="D104" s="90" t="str">
        <f>VLOOKUP(A104,'Master Account'!$A$4:$E$69,2,FALSE)</f>
        <v>Bank BCA</v>
      </c>
      <c r="E104" s="105"/>
      <c r="F104" s="106"/>
      <c r="G104" s="106">
        <v>1.0E7</v>
      </c>
      <c r="H104" s="96"/>
      <c r="I104" s="101"/>
      <c r="J104" s="93"/>
      <c r="K104" s="94"/>
      <c r="L104" s="95"/>
      <c r="M104" s="93"/>
      <c r="N104" s="94"/>
      <c r="O104" s="91"/>
      <c r="P104" s="91"/>
      <c r="Q104" s="91"/>
    </row>
    <row r="105" spans="8:8" s="12" ht="15.0" customFormat="1">
      <c r="A105" s="11">
        <v>11202.0</v>
      </c>
      <c r="B105" s="104"/>
      <c r="C105" s="105"/>
      <c r="D105" s="90" t="str">
        <f>VLOOKUP(A105,'Master Account'!$A$4:$E$69,2,FALSE)</f>
        <v>Bank Mandiri</v>
      </c>
      <c r="E105" s="105"/>
      <c r="F105" s="106"/>
      <c r="G105" s="106">
        <v>1.2E7</v>
      </c>
      <c r="H105" s="96"/>
      <c r="I105" s="101"/>
      <c r="J105" s="93"/>
      <c r="K105" s="94"/>
      <c r="L105" s="95"/>
      <c r="M105" s="93"/>
      <c r="N105" s="94"/>
      <c r="O105" s="91"/>
      <c r="P105" s="91"/>
      <c r="Q105" s="91"/>
    </row>
    <row r="106" spans="8:8" s="12" ht="15.0" customFormat="1">
      <c r="A106" s="103"/>
      <c r="B106" s="104"/>
      <c r="C106" s="105"/>
      <c r="D106" s="90"/>
      <c r="E106" s="105"/>
      <c r="F106" s="106"/>
      <c r="G106" s="106"/>
      <c r="H106" s="96"/>
      <c r="I106" s="101"/>
      <c r="J106" s="93"/>
      <c r="K106" s="94"/>
      <c r="L106" s="95"/>
      <c r="M106" s="93"/>
      <c r="N106" s="94"/>
      <c r="O106" s="91"/>
      <c r="P106" s="91"/>
      <c r="Q106" s="91"/>
    </row>
    <row r="107" spans="8:8" s="12" ht="15.0" customFormat="1">
      <c r="A107" s="11">
        <v>61008.0</v>
      </c>
      <c r="B107" s="104">
        <v>38746.0</v>
      </c>
      <c r="C107" s="105" t="s">
        <v>231</v>
      </c>
      <c r="D107" s="90" t="str">
        <f>VLOOKUP(A107,'Master Account'!$A$4:$E$69,2,FALSE)</f>
        <v>Beban Pemasaran</v>
      </c>
      <c r="E107" s="105"/>
      <c r="F107" s="106">
        <v>750000.0</v>
      </c>
      <c r="G107" s="106"/>
      <c r="H107" s="96"/>
      <c r="I107" s="101"/>
      <c r="J107" s="93"/>
      <c r="K107" s="94"/>
      <c r="L107" s="95"/>
      <c r="M107" s="93"/>
      <c r="N107" s="94"/>
      <c r="O107" s="91"/>
      <c r="P107" s="91"/>
      <c r="Q107" s="91"/>
    </row>
    <row r="108" spans="8:8" s="12" ht="15.0" customFormat="1">
      <c r="A108" s="11">
        <v>61009.0</v>
      </c>
      <c r="B108" s="104"/>
      <c r="C108" s="105"/>
      <c r="D108" s="90" t="str">
        <f>VLOOKUP(A108,'Master Account'!$A$4:$E$69,2,FALSE)</f>
        <v>Beban Transportasi</v>
      </c>
      <c r="E108" s="105"/>
      <c r="F108" s="106">
        <v>250000.0</v>
      </c>
      <c r="G108" s="106"/>
      <c r="H108" s="96"/>
      <c r="I108" s="101"/>
      <c r="J108" s="93"/>
      <c r="K108" s="94"/>
      <c r="L108" s="95"/>
      <c r="M108" s="93"/>
      <c r="N108" s="94"/>
      <c r="O108" s="91"/>
      <c r="P108" s="91"/>
      <c r="Q108" s="91"/>
    </row>
    <row r="109" spans="8:8" s="12" ht="15.0" customFormat="1">
      <c r="A109" s="11">
        <v>61010.0</v>
      </c>
      <c r="B109" s="104"/>
      <c r="C109" s="105"/>
      <c r="D109" s="90" t="str">
        <f>VLOOKUP(A109,'Master Account'!$A$4:$E$69,2,FALSE)</f>
        <v>Beban Perawatan AC</v>
      </c>
      <c r="E109" s="105"/>
      <c r="F109" s="106">
        <v>200000.0</v>
      </c>
      <c r="G109" s="106"/>
      <c r="H109" s="96"/>
      <c r="I109" s="101"/>
      <c r="J109" s="93"/>
      <c r="K109" s="94"/>
      <c r="L109" s="95"/>
      <c r="M109" s="93"/>
      <c r="N109" s="94"/>
      <c r="O109" s="91"/>
      <c r="P109" s="91"/>
      <c r="Q109" s="91"/>
    </row>
    <row r="110" spans="8:8" s="12" ht="15.0" customFormat="1">
      <c r="A110" s="11">
        <v>61011.0</v>
      </c>
      <c r="B110" s="104"/>
      <c r="C110" s="105"/>
      <c r="D110" s="90" t="str">
        <f>VLOOKUP(A110,'Master Account'!$A$4:$E$69,2,FALSE)</f>
        <v>Beban Perlengkapan Kantor</v>
      </c>
      <c r="E110" s="105"/>
      <c r="F110" s="106">
        <v>50000.0</v>
      </c>
      <c r="G110" s="106"/>
      <c r="H110" s="96"/>
      <c r="I110" s="101"/>
      <c r="J110" s="93"/>
      <c r="K110" s="94"/>
      <c r="L110" s="95"/>
      <c r="M110" s="93"/>
      <c r="N110" s="94"/>
      <c r="O110" s="91"/>
      <c r="P110" s="91"/>
      <c r="Q110" s="91"/>
    </row>
    <row r="111" spans="8:8" s="12" ht="15.0" customFormat="1">
      <c r="A111" s="11">
        <v>11201.0</v>
      </c>
      <c r="B111" s="104"/>
      <c r="C111" s="105"/>
      <c r="D111" s="90" t="str">
        <f>VLOOKUP(A111,'Master Account'!$A$4:$E$69,2,FALSE)</f>
        <v>Bank BCA</v>
      </c>
      <c r="E111" s="105"/>
      <c r="F111" s="106"/>
      <c r="G111" s="106">
        <v>1250000.0</v>
      </c>
      <c r="H111" s="96"/>
      <c r="I111" s="101"/>
      <c r="J111" s="93"/>
      <c r="K111" s="94"/>
      <c r="L111" s="95"/>
      <c r="M111" s="93"/>
      <c r="N111" s="94"/>
      <c r="O111" s="91"/>
      <c r="P111" s="91"/>
      <c r="Q111" s="91"/>
    </row>
    <row r="112" spans="8:8" s="12" ht="15.0" customFormat="1">
      <c r="A112" s="103"/>
      <c r="B112" s="104"/>
      <c r="C112" s="105"/>
      <c r="D112" s="90"/>
      <c r="E112" s="105"/>
      <c r="F112" s="106"/>
      <c r="G112" s="106"/>
      <c r="H112" s="96"/>
      <c r="I112" s="101"/>
      <c r="J112" s="93"/>
      <c r="K112" s="94"/>
      <c r="L112" s="95"/>
      <c r="M112" s="93"/>
      <c r="N112" s="94"/>
      <c r="O112" s="91"/>
      <c r="P112" s="91"/>
      <c r="Q112" s="91"/>
    </row>
    <row r="113" spans="8:8" s="12" ht="15.0" customFormat="1">
      <c r="A113" s="11">
        <v>11101.0</v>
      </c>
      <c r="B113" s="104">
        <v>38746.0</v>
      </c>
      <c r="C113" s="105" t="s">
        <v>232</v>
      </c>
      <c r="D113" s="90" t="str">
        <f>VLOOKUP(A113,'Master Account'!$A$4:$E$69,2,FALSE)</f>
        <v>Kas Di Tangan</v>
      </c>
      <c r="E113" s="105"/>
      <c r="F113" s="106">
        <v>5500000.0</v>
      </c>
      <c r="G113" s="106"/>
      <c r="H113" s="96"/>
      <c r="I113" s="101"/>
      <c r="J113" s="93"/>
      <c r="K113" s="94"/>
      <c r="L113" s="95"/>
      <c r="M113" s="93"/>
      <c r="N113" s="94"/>
      <c r="O113" s="91"/>
      <c r="P113" s="91"/>
      <c r="Q113" s="91"/>
    </row>
    <row r="114" spans="8:8" s="12" ht="15.0" customFormat="1">
      <c r="A114" s="11">
        <v>12202.0</v>
      </c>
      <c r="B114" s="104"/>
      <c r="C114" s="105"/>
      <c r="D114" s="90" t="str">
        <f>VLOOKUP(A114,'Master Account'!$A$4:$E$69,2,FALSE)</f>
        <v>Akumulasi Penyusutan Kendaraan</v>
      </c>
      <c r="E114" s="105"/>
      <c r="F114" s="106">
        <v>1500000.0</v>
      </c>
      <c r="G114" s="106"/>
      <c r="H114" s="96"/>
      <c r="I114" s="101"/>
      <c r="J114" s="93"/>
      <c r="K114" s="94"/>
      <c r="L114" s="95"/>
      <c r="M114" s="93"/>
      <c r="N114" s="94"/>
      <c r="O114" s="91"/>
      <c r="P114" s="91"/>
      <c r="Q114" s="91"/>
    </row>
    <row r="115" spans="8:8" s="12" ht="15.0" customFormat="1">
      <c r="A115" s="11">
        <v>12201.0</v>
      </c>
      <c r="B115" s="104"/>
      <c r="C115" s="105"/>
      <c r="D115" s="90" t="str">
        <f>VLOOKUP(A115,'Master Account'!$A$4:$E$69,2,FALSE)</f>
        <v>Kendaraan</v>
      </c>
      <c r="E115" s="105"/>
      <c r="F115" s="106"/>
      <c r="G115" s="106">
        <v>6000000.0</v>
      </c>
      <c r="H115" s="96"/>
      <c r="I115" s="101"/>
      <c r="J115" s="93"/>
      <c r="K115" s="94"/>
      <c r="L115" s="95"/>
      <c r="M115" s="93"/>
      <c r="N115" s="94"/>
      <c r="O115" s="91"/>
      <c r="P115" s="91"/>
      <c r="Q115" s="91"/>
    </row>
    <row r="116" spans="8:8" s="12" ht="15.0" customFormat="1">
      <c r="A116" s="11">
        <v>81001.0</v>
      </c>
      <c r="B116" s="104"/>
      <c r="C116" s="105"/>
      <c r="D116" s="90" t="str">
        <f>VLOOKUP(A116,'Master Account'!$A$4:$E$69,2,FALSE)</f>
        <v>Laba Penjualan Aktiva Tetap</v>
      </c>
      <c r="E116" s="105"/>
      <c r="F116" s="106"/>
      <c r="G116" s="106">
        <v>1000000.0</v>
      </c>
      <c r="H116" s="96"/>
      <c r="I116" s="101"/>
      <c r="J116" s="93"/>
      <c r="K116" s="94"/>
      <c r="L116" s="95"/>
      <c r="M116" s="93"/>
      <c r="N116" s="94"/>
      <c r="O116" s="91"/>
      <c r="P116" s="91"/>
      <c r="Q116" s="91"/>
    </row>
    <row r="117" spans="8:8" s="12" ht="15.0" customFormat="1">
      <c r="A117" s="103"/>
      <c r="B117" s="104"/>
      <c r="C117" s="105"/>
      <c r="D117" s="90"/>
      <c r="E117" s="105"/>
      <c r="F117" s="106"/>
      <c r="G117" s="106"/>
      <c r="H117" s="96"/>
      <c r="I117" s="101"/>
      <c r="J117" s="93"/>
      <c r="K117" s="94"/>
      <c r="L117" s="95"/>
      <c r="M117" s="93"/>
      <c r="N117" s="94"/>
      <c r="O117" s="91"/>
      <c r="P117" s="91"/>
      <c r="Q117" s="91"/>
    </row>
    <row r="118" spans="8:8" s="12" ht="15.0" customFormat="1">
      <c r="A118" s="11">
        <v>11101.0</v>
      </c>
      <c r="B118" s="104">
        <v>38746.0</v>
      </c>
      <c r="C118" s="105" t="s">
        <v>233</v>
      </c>
      <c r="D118" s="90" t="str">
        <f>VLOOKUP(A118,'Master Account'!$A$4:$E$69,2,FALSE)</f>
        <v>Kas Di Tangan</v>
      </c>
      <c r="E118" s="105"/>
      <c r="F118" s="106">
        <v>2.97295E7</v>
      </c>
      <c r="G118" s="106"/>
      <c r="H118" s="96"/>
      <c r="I118" s="101"/>
      <c r="J118" s="93"/>
      <c r="K118" s="94"/>
      <c r="L118" s="95"/>
      <c r="M118" s="93"/>
      <c r="N118" s="94"/>
      <c r="O118" s="91"/>
      <c r="P118" s="91"/>
      <c r="Q118" s="91"/>
    </row>
    <row r="119" spans="8:8" s="12" ht="15.0" customFormat="1">
      <c r="A119" s="11">
        <v>21403.0</v>
      </c>
      <c r="B119" s="104"/>
      <c r="C119" s="105"/>
      <c r="D119" s="90" t="str">
        <f>VLOOKUP(A119,'Master Account'!$A$4:$E$69,2,FALSE)</f>
        <v>PPN Keluaran </v>
      </c>
      <c r="E119" s="105"/>
      <c r="F119" s="106"/>
      <c r="G119" s="106">
        <v>2684500.0</v>
      </c>
      <c r="H119" s="96"/>
      <c r="I119" s="101"/>
      <c r="J119" s="93"/>
      <c r="K119" s="94"/>
      <c r="L119" s="95"/>
      <c r="M119" s="93"/>
      <c r="N119" s="94"/>
      <c r="O119" s="91"/>
      <c r="P119" s="91"/>
      <c r="Q119" s="91"/>
    </row>
    <row r="120" spans="8:8" s="12" ht="15.0" customFormat="1">
      <c r="A120" s="11">
        <v>41000.0</v>
      </c>
      <c r="B120" s="104"/>
      <c r="C120" s="105"/>
      <c r="D120" s="90" t="str">
        <f>VLOOKUP(A120,'Master Account'!$A$4:$E$69,2,FALSE)</f>
        <v>Penjualan </v>
      </c>
      <c r="E120" s="105"/>
      <c r="F120" s="106"/>
      <c r="G120" s="106">
        <v>2.6845E7</v>
      </c>
      <c r="H120" s="96"/>
      <c r="I120" s="101"/>
      <c r="J120" s="93"/>
      <c r="K120" s="94"/>
      <c r="L120" s="95"/>
      <c r="M120" s="93"/>
      <c r="N120" s="94"/>
      <c r="O120" s="91"/>
      <c r="P120" s="91"/>
      <c r="Q120" s="91"/>
    </row>
    <row r="121" spans="8:8" s="12" ht="15.0" customFormat="1">
      <c r="A121" s="11">
        <v>21200.0</v>
      </c>
      <c r="B121" s="104"/>
      <c r="C121" s="105"/>
      <c r="D121" s="90" t="str">
        <f>VLOOKUP(A121,'Master Account'!$A$4:$E$69,2,FALSE)</f>
        <v>Pendapatan Diterima Dimuka-Jasa Kirim</v>
      </c>
      <c r="E121" s="105"/>
      <c r="F121" s="106"/>
      <c r="G121" s="106">
        <v>200000.0</v>
      </c>
      <c r="H121" s="96"/>
      <c r="I121" s="101"/>
      <c r="J121" s="93"/>
      <c r="K121" s="94"/>
      <c r="L121" s="95"/>
      <c r="M121" s="93"/>
      <c r="N121" s="94"/>
      <c r="O121" s="91"/>
      <c r="P121" s="91"/>
      <c r="Q121" s="91"/>
    </row>
    <row r="122" spans="8:8" s="12" ht="15.0" customFormat="1">
      <c r="A122" s="11">
        <v>51000.0</v>
      </c>
      <c r="B122" s="104"/>
      <c r="C122" s="105"/>
      <c r="D122" s="90" t="str">
        <f>VLOOKUP(A122,'Master Account'!$A$4:$E$69,2,FALSE)</f>
        <v>Harga Pokok Penjualan</v>
      </c>
      <c r="E122" s="105"/>
      <c r="F122" s="106">
        <f>SUM(G123:G124)</f>
        <v>2.3375E7</v>
      </c>
      <c r="G122" s="106"/>
      <c r="H122" s="96"/>
      <c r="I122" s="101"/>
      <c r="J122" s="93"/>
      <c r="K122" s="94"/>
      <c r="L122" s="95"/>
      <c r="M122" s="93"/>
      <c r="N122" s="94"/>
      <c r="O122" s="91"/>
      <c r="P122" s="91"/>
      <c r="Q122" s="91"/>
    </row>
    <row r="123" spans="8:8" s="12" ht="15.0" customFormat="1">
      <c r="A123" s="11">
        <v>11500.0</v>
      </c>
      <c r="B123" s="104"/>
      <c r="C123" s="105"/>
      <c r="D123" s="90" t="str">
        <f>VLOOKUP(A123,'Master Account'!$A$4:$E$69,2,FALSE)</f>
        <v>PERSEDIAAN BARANG DAGANGAN</v>
      </c>
      <c r="E123" s="105"/>
      <c r="F123" s="106"/>
      <c r="G123" s="106">
        <v>1.2E7</v>
      </c>
      <c r="H123" s="96" t="s">
        <v>77</v>
      </c>
      <c r="I123" s="101"/>
      <c r="J123" s="93"/>
      <c r="K123" s="94"/>
      <c r="L123" s="101">
        <v>10.0</v>
      </c>
      <c r="M123" s="93">
        <v>1200000.0</v>
      </c>
      <c r="N123" s="94">
        <f>L123*M123</f>
        <v>1.2E7</v>
      </c>
      <c r="O123" s="91"/>
      <c r="P123" s="91"/>
      <c r="Q123" s="91"/>
    </row>
    <row r="124" spans="8:8" s="12" ht="15.0" customFormat="1">
      <c r="A124" s="11">
        <v>11500.0</v>
      </c>
      <c r="B124" s="104"/>
      <c r="C124" s="105"/>
      <c r="D124" s="90" t="str">
        <f>VLOOKUP(A124,'Master Account'!$A$4:$E$69,2,FALSE)</f>
        <v>PERSEDIAAN BARANG DAGANGAN</v>
      </c>
      <c r="E124" s="105"/>
      <c r="F124" s="106"/>
      <c r="G124" s="106">
        <v>1.1375E7</v>
      </c>
      <c r="H124" s="96" t="s">
        <v>79</v>
      </c>
      <c r="I124" s="101"/>
      <c r="J124" s="93"/>
      <c r="K124" s="94"/>
      <c r="L124" s="101">
        <v>35.0</v>
      </c>
      <c r="M124" s="93">
        <v>325000.0</v>
      </c>
      <c r="N124" s="94">
        <f>L124*M124</f>
        <v>1.1375E7</v>
      </c>
      <c r="O124" s="91"/>
      <c r="P124" s="91"/>
      <c r="Q124" s="91"/>
    </row>
    <row r="125" spans="8:8" s="12" ht="15.0" customFormat="1">
      <c r="A125" s="103"/>
      <c r="B125" s="104"/>
      <c r="C125" s="105"/>
      <c r="D125" s="90"/>
      <c r="E125" s="105"/>
      <c r="F125" s="106"/>
      <c r="G125" s="106"/>
      <c r="H125" s="96"/>
      <c r="I125" s="101"/>
      <c r="J125" s="93"/>
      <c r="K125" s="94"/>
      <c r="L125" s="95"/>
      <c r="M125" s="93"/>
      <c r="N125" s="94"/>
      <c r="O125" s="91"/>
      <c r="P125" s="91"/>
      <c r="Q125" s="91"/>
    </row>
    <row r="126" spans="8:8" s="12" ht="15.0" customFormat="1">
      <c r="A126" s="11">
        <v>11101.0</v>
      </c>
      <c r="B126" s="104">
        <v>38748.0</v>
      </c>
      <c r="C126" s="105" t="s">
        <v>234</v>
      </c>
      <c r="D126" s="90" t="str">
        <f>VLOOKUP(A126,'Master Account'!$A$4:$E$69,2,FALSE)</f>
        <v>Kas Di Tangan</v>
      </c>
      <c r="E126" s="105"/>
      <c r="F126" s="106">
        <v>500000.0</v>
      </c>
      <c r="G126" s="106"/>
      <c r="H126" s="96"/>
      <c r="I126" s="101"/>
      <c r="J126" s="93"/>
      <c r="K126" s="94"/>
      <c r="L126" s="95"/>
      <c r="M126" s="93"/>
      <c r="N126" s="94"/>
      <c r="O126" s="91"/>
      <c r="P126" s="91"/>
      <c r="Q126" s="91"/>
    </row>
    <row r="127" spans="8:8" s="12" ht="15.0" customFormat="1">
      <c r="A127" s="11">
        <v>11401.0</v>
      </c>
      <c r="B127" s="104"/>
      <c r="C127" s="105"/>
      <c r="D127" s="90" t="str">
        <f>VLOOKUP(A127,'Master Account'!$A$4:$E$69,2,FALSE)</f>
        <v>Piutang Karyawan</v>
      </c>
      <c r="E127" s="105"/>
      <c r="F127" s="106"/>
      <c r="G127" s="106">
        <v>500000.0</v>
      </c>
      <c r="H127" s="96"/>
      <c r="I127" s="101"/>
      <c r="J127" s="93"/>
      <c r="K127" s="94"/>
      <c r="L127" s="95"/>
      <c r="M127" s="93"/>
      <c r="N127" s="94"/>
      <c r="O127" s="91"/>
      <c r="P127" s="91"/>
      <c r="Q127" s="91"/>
    </row>
    <row r="128" spans="8:8" s="12" ht="15.0" customFormat="1">
      <c r="A128" s="103"/>
      <c r="B128" s="104"/>
      <c r="C128" s="105"/>
      <c r="D128" s="90"/>
      <c r="E128" s="105"/>
      <c r="F128" s="106"/>
      <c r="G128" s="106"/>
      <c r="H128" s="96"/>
      <c r="I128" s="101"/>
      <c r="J128" s="93"/>
      <c r="K128" s="94"/>
      <c r="L128" s="95"/>
      <c r="M128" s="93"/>
      <c r="N128" s="94"/>
      <c r="O128" s="91"/>
      <c r="P128" s="91"/>
      <c r="Q128" s="91"/>
    </row>
    <row r="129" spans="8:8" s="12" ht="15.0" customFormat="1">
      <c r="A129" s="11">
        <v>61001.0</v>
      </c>
      <c r="B129" s="104">
        <v>38748.0</v>
      </c>
      <c r="C129" s="105" t="s">
        <v>235</v>
      </c>
      <c r="D129" s="90" t="str">
        <f>VLOOKUP(A129,'Master Account'!$A$4:$E$69,2,FALSE)</f>
        <v>Beban Gaji Karyawan</v>
      </c>
      <c r="E129" s="105"/>
      <c r="F129" s="106">
        <v>1.45E7</v>
      </c>
      <c r="G129" s="106"/>
      <c r="H129" s="96"/>
      <c r="I129" s="101"/>
      <c r="J129" s="93"/>
      <c r="K129" s="94"/>
      <c r="L129" s="95"/>
      <c r="M129" s="93"/>
      <c r="N129" s="94"/>
      <c r="O129" s="91"/>
      <c r="P129" s="91"/>
      <c r="Q129" s="91"/>
    </row>
    <row r="130" spans="8:8" s="12" ht="15.0" customFormat="1">
      <c r="A130" s="11">
        <v>21401.0</v>
      </c>
      <c r="B130" s="104"/>
      <c r="C130" s="105"/>
      <c r="D130" s="90" t="str">
        <f>VLOOKUP(A130,'Master Account'!$A$4:$E$69,2,FALSE)</f>
        <v>Utang PPh Pasal 21</v>
      </c>
      <c r="E130" s="105"/>
      <c r="F130" s="106"/>
      <c r="G130" s="106">
        <v>725000.0</v>
      </c>
      <c r="H130" s="96"/>
      <c r="I130" s="101"/>
      <c r="J130" s="93"/>
      <c r="K130" s="94"/>
      <c r="L130" s="95"/>
      <c r="M130" s="93"/>
      <c r="N130" s="94"/>
      <c r="O130" s="91"/>
      <c r="P130" s="91"/>
      <c r="Q130" s="91"/>
    </row>
    <row r="131" spans="8:8" s="12" ht="15.0" customFormat="1">
      <c r="A131" s="11">
        <v>11201.0</v>
      </c>
      <c r="B131" s="104"/>
      <c r="C131" s="105"/>
      <c r="D131" s="90" t="str">
        <f>VLOOKUP(A131,'Master Account'!$A$4:$E$69,2,FALSE)</f>
        <v>Bank BCA</v>
      </c>
      <c r="E131" s="105"/>
      <c r="F131" s="106"/>
      <c r="G131" s="106">
        <f>F129-G130</f>
        <v>1.3775E7</v>
      </c>
      <c r="H131" s="96"/>
      <c r="I131" s="101"/>
      <c r="J131" s="93"/>
      <c r="K131" s="94"/>
      <c r="L131" s="95"/>
      <c r="M131" s="93"/>
      <c r="N131" s="94"/>
      <c r="O131" s="91"/>
      <c r="P131" s="91"/>
      <c r="Q131" s="91"/>
    </row>
    <row r="132" spans="8:8" s="12" ht="15.0" customFormat="1">
      <c r="A132" s="103"/>
      <c r="B132" s="104"/>
      <c r="C132" s="105"/>
      <c r="D132" s="90"/>
      <c r="E132" s="105"/>
      <c r="F132" s="106"/>
      <c r="G132" s="106"/>
      <c r="H132" s="96"/>
      <c r="I132" s="101"/>
      <c r="J132" s="93"/>
      <c r="K132" s="94"/>
      <c r="L132" s="95"/>
      <c r="M132" s="93"/>
      <c r="N132" s="94"/>
      <c r="O132" s="91"/>
      <c r="P132" s="91"/>
      <c r="Q132" s="91"/>
    </row>
    <row r="133" spans="8:8" s="12" ht="15.0" customFormat="1">
      <c r="A133" s="103"/>
      <c r="B133" s="104"/>
      <c r="C133" s="105"/>
      <c r="D133" s="107" t="s">
        <v>209</v>
      </c>
      <c r="E133" s="105"/>
      <c r="F133" s="106"/>
      <c r="G133" s="106"/>
      <c r="H133" s="96"/>
      <c r="I133" s="101"/>
      <c r="J133" s="93"/>
      <c r="K133" s="94"/>
      <c r="L133" s="95"/>
      <c r="M133" s="93"/>
      <c r="N133" s="94"/>
      <c r="O133" s="91"/>
      <c r="P133" s="91"/>
      <c r="Q133" s="91"/>
    </row>
    <row r="134" spans="8:8" s="12" ht="15.0" customFormat="1">
      <c r="A134" s="11">
        <v>61006.0</v>
      </c>
      <c r="B134" s="104">
        <v>38748.0</v>
      </c>
      <c r="C134" s="105" t="s">
        <v>236</v>
      </c>
      <c r="D134" s="90" t="str">
        <f>VLOOKUP(A134,'Master Account'!$A$4:$E$69,2,FALSE)</f>
        <v>Beban Penyusutan Peralatan Kantor</v>
      </c>
      <c r="E134" s="105"/>
      <c r="F134" s="106">
        <v>400000.0</v>
      </c>
      <c r="G134" s="106"/>
      <c r="H134" s="96"/>
      <c r="I134" s="101"/>
      <c r="J134" s="93"/>
      <c r="K134" s="94"/>
      <c r="L134" s="95"/>
      <c r="M134" s="93"/>
      <c r="N134" s="94"/>
      <c r="O134" s="91"/>
      <c r="P134" s="91"/>
      <c r="Q134" s="91"/>
    </row>
    <row r="135" spans="8:8" s="12" ht="15.0" customFormat="1">
      <c r="A135" s="11">
        <v>12102.0</v>
      </c>
      <c r="B135" s="104"/>
      <c r="C135" s="105"/>
      <c r="D135" s="90" t="str">
        <f>VLOOKUP(A135,'Master Account'!$A$4:$E$69,2,FALSE)</f>
        <v>Akumulasi Penyusutan Peralatan Kantor</v>
      </c>
      <c r="E135" s="105"/>
      <c r="F135" s="106"/>
      <c r="G135" s="106">
        <v>400000.0</v>
      </c>
      <c r="H135" s="96"/>
      <c r="I135" s="101"/>
      <c r="J135" s="93"/>
      <c r="K135" s="94"/>
      <c r="L135" s="95"/>
      <c r="M135" s="93"/>
      <c r="N135" s="94"/>
      <c r="O135" s="91"/>
      <c r="P135" s="91"/>
      <c r="Q135" s="91"/>
    </row>
    <row r="136" spans="8:8" s="12" ht="15.0" customFormat="1">
      <c r="A136" s="11">
        <v>61007.0</v>
      </c>
      <c r="B136" s="104"/>
      <c r="C136" s="105"/>
      <c r="D136" s="90" t="str">
        <f>VLOOKUP(A136,'Master Account'!$A$4:$E$69,2,FALSE)</f>
        <v>Beban Penyusutan Kendaraan</v>
      </c>
      <c r="E136" s="105"/>
      <c r="F136" s="106">
        <v>500000.0</v>
      </c>
      <c r="G136" s="106"/>
      <c r="H136" s="96"/>
      <c r="I136" s="101"/>
      <c r="J136" s="93"/>
      <c r="K136" s="94"/>
      <c r="L136" s="95"/>
      <c r="M136" s="93"/>
      <c r="N136" s="94"/>
      <c r="O136" s="91"/>
      <c r="P136" s="91"/>
      <c r="Q136" s="91"/>
    </row>
    <row r="137" spans="8:8" s="12" ht="15.0" customFormat="1">
      <c r="A137" s="11">
        <v>12202.0</v>
      </c>
      <c r="B137" s="104"/>
      <c r="C137" s="105"/>
      <c r="D137" s="90" t="str">
        <f>VLOOKUP(A137,'Master Account'!$A$4:$E$69,2,FALSE)</f>
        <v>Akumulasi Penyusutan Kendaraan</v>
      </c>
      <c r="E137" s="105"/>
      <c r="F137" s="106"/>
      <c r="G137" s="106">
        <v>500000.0</v>
      </c>
      <c r="H137" s="96"/>
      <c r="I137" s="101"/>
      <c r="J137" s="93"/>
      <c r="K137" s="94"/>
      <c r="L137" s="95"/>
      <c r="M137" s="93"/>
      <c r="N137" s="94"/>
      <c r="O137" s="91"/>
      <c r="P137" s="91"/>
      <c r="Q137" s="91"/>
    </row>
    <row r="138" spans="8:8" s="12" ht="15.0" customFormat="1">
      <c r="A138" s="103"/>
      <c r="B138" s="104"/>
      <c r="C138" s="105"/>
      <c r="D138" s="90"/>
      <c r="E138" s="105"/>
      <c r="F138" s="106"/>
      <c r="G138" s="106"/>
      <c r="H138" s="96"/>
      <c r="I138" s="101"/>
      <c r="J138" s="93"/>
      <c r="K138" s="94"/>
      <c r="L138" s="95"/>
      <c r="M138" s="93"/>
      <c r="N138" s="94"/>
      <c r="O138" s="91"/>
      <c r="P138" s="91"/>
      <c r="Q138" s="91"/>
    </row>
    <row r="139" spans="8:8" s="12" ht="15.0" customFormat="1">
      <c r="A139" s="11">
        <v>91002.0</v>
      </c>
      <c r="B139" s="104">
        <v>38748.0</v>
      </c>
      <c r="C139" s="105" t="s">
        <v>237</v>
      </c>
      <c r="D139" s="90" t="str">
        <f>VLOOKUP(A139,'Master Account'!$A$4:$E$69,2,FALSE)</f>
        <v>Beban Bunga</v>
      </c>
      <c r="E139" s="105"/>
      <c r="F139" s="106">
        <v>750000.0</v>
      </c>
      <c r="G139" s="106"/>
      <c r="H139" s="96"/>
      <c r="I139" s="101"/>
      <c r="J139" s="93"/>
      <c r="K139" s="94"/>
      <c r="L139" s="95"/>
      <c r="M139" s="93"/>
      <c r="N139" s="94"/>
      <c r="O139" s="91"/>
      <c r="P139" s="91"/>
      <c r="Q139" s="91"/>
    </row>
    <row r="140" spans="8:8" s="12" ht="15.0" customFormat="1">
      <c r="A140" s="11">
        <v>21300.0</v>
      </c>
      <c r="B140" s="104"/>
      <c r="C140" s="105"/>
      <c r="D140" s="90" t="str">
        <f>VLOOKUP(A140,'Master Account'!$A$4:$E$69,2,FALSE)</f>
        <v>Hutang Bunga</v>
      </c>
      <c r="E140" s="105"/>
      <c r="F140" s="106"/>
      <c r="G140" s="106">
        <v>750000.0</v>
      </c>
      <c r="H140" s="96"/>
      <c r="I140" s="101"/>
      <c r="J140" s="93"/>
      <c r="K140" s="94"/>
      <c r="L140" s="95"/>
      <c r="M140" s="93"/>
      <c r="N140" s="94"/>
      <c r="O140" s="91"/>
      <c r="P140" s="91"/>
      <c r="Q140" s="91"/>
    </row>
    <row r="141" spans="8:8" s="12" ht="15.0" customFormat="1">
      <c r="A141" s="103"/>
      <c r="B141" s="104"/>
      <c r="C141" s="105"/>
      <c r="D141" s="90"/>
      <c r="E141" s="105"/>
      <c r="F141" s="106"/>
      <c r="G141" s="106"/>
      <c r="H141" s="96"/>
      <c r="I141" s="101"/>
      <c r="J141" s="93"/>
      <c r="K141" s="94"/>
      <c r="L141" s="95"/>
      <c r="M141" s="93"/>
      <c r="N141" s="94"/>
      <c r="O141" s="91"/>
      <c r="P141" s="91"/>
      <c r="Q141" s="91"/>
    </row>
    <row r="142" spans="8:8" s="12" ht="15.0" customFormat="1">
      <c r="A142" s="11">
        <v>61003.0</v>
      </c>
      <c r="B142" s="104">
        <v>38748.0</v>
      </c>
      <c r="C142" s="105" t="s">
        <v>238</v>
      </c>
      <c r="D142" s="90" t="str">
        <f>VLOOKUP(A142,'Master Account'!$A$4:$E$69,2,FALSE)</f>
        <v>Beban Piutang Tak Tertagih</v>
      </c>
      <c r="E142" s="105"/>
      <c r="F142" s="106">
        <v>2901750.0</v>
      </c>
      <c r="G142" s="106"/>
      <c r="H142" s="96"/>
      <c r="I142" s="101"/>
      <c r="J142" s="93"/>
      <c r="K142" s="94"/>
      <c r="L142" s="95"/>
      <c r="M142" s="93"/>
      <c r="N142" s="94"/>
      <c r="O142" s="91"/>
      <c r="P142" s="91"/>
      <c r="Q142" s="91"/>
    </row>
    <row r="143" spans="8:8" s="12" ht="15.0" customFormat="1">
      <c r="A143" s="11">
        <v>11302.0</v>
      </c>
      <c r="B143" s="104"/>
      <c r="C143" s="105"/>
      <c r="D143" s="90" t="str">
        <f>VLOOKUP(A143,'Master Account'!$A$4:$E$69,2,FALSE)</f>
        <v>Cadangan Piutang Tak Tertagih</v>
      </c>
      <c r="E143" s="105"/>
      <c r="F143" s="106"/>
      <c r="G143" s="106">
        <v>2901750.0</v>
      </c>
      <c r="H143" s="96"/>
      <c r="I143" s="101"/>
      <c r="J143" s="93"/>
      <c r="K143" s="94"/>
      <c r="L143" s="95"/>
      <c r="M143" s="93"/>
      <c r="N143" s="94"/>
      <c r="O143" s="91"/>
      <c r="P143" s="91"/>
      <c r="Q143" s="91"/>
    </row>
    <row r="144" spans="8:8" s="12" ht="15.0" customFormat="1">
      <c r="A144" s="103"/>
      <c r="B144" s="104"/>
      <c r="C144" s="105"/>
      <c r="D144" s="90"/>
      <c r="E144" s="105"/>
      <c r="F144" s="106"/>
      <c r="G144" s="106"/>
      <c r="H144" s="96"/>
      <c r="I144" s="101"/>
      <c r="J144" s="93"/>
      <c r="K144" s="94"/>
      <c r="L144" s="95"/>
      <c r="M144" s="93"/>
      <c r="N144" s="94"/>
      <c r="O144" s="91"/>
      <c r="P144" s="91"/>
      <c r="Q144" s="91"/>
    </row>
    <row r="145" spans="8:8" s="12" ht="15.0" customFormat="1">
      <c r="A145" s="11">
        <v>11201.0</v>
      </c>
      <c r="B145" s="104">
        <v>38748.0</v>
      </c>
      <c r="C145" s="105" t="s">
        <v>239</v>
      </c>
      <c r="D145" s="90" t="str">
        <f>VLOOKUP(A145,'Master Account'!$A$4:$E$69,2,FALSE)</f>
        <v>Bank BCA</v>
      </c>
      <c r="E145" s="105"/>
      <c r="F145" s="106">
        <v>1200000.0</v>
      </c>
      <c r="G145" s="106"/>
      <c r="H145" s="96"/>
      <c r="I145" s="101"/>
      <c r="J145" s="93"/>
      <c r="K145" s="94"/>
      <c r="L145" s="95"/>
      <c r="M145" s="93"/>
      <c r="N145" s="94"/>
      <c r="O145" s="91"/>
      <c r="P145" s="91"/>
      <c r="Q145" s="91"/>
    </row>
    <row r="146" spans="8:8" s="12" ht="15.0" customFormat="1">
      <c r="A146" s="11">
        <v>91001.0</v>
      </c>
      <c r="B146" s="104"/>
      <c r="C146" s="105"/>
      <c r="D146" s="90" t="str">
        <f>VLOOKUP(A146,'Master Account'!$A$4:$E$69,2,FALSE)</f>
        <v>Beban Administrasi Bank</v>
      </c>
      <c r="E146" s="105"/>
      <c r="F146" s="106">
        <v>150000.0</v>
      </c>
      <c r="G146" s="106"/>
      <c r="H146" s="96"/>
      <c r="I146" s="101"/>
      <c r="J146" s="93"/>
      <c r="K146" s="94"/>
      <c r="L146" s="95"/>
      <c r="M146" s="93"/>
      <c r="N146" s="94"/>
      <c r="O146" s="91"/>
      <c r="P146" s="91"/>
      <c r="Q146" s="91"/>
    </row>
    <row r="147" spans="8:8" s="12" ht="15.0" customFormat="1">
      <c r="A147" s="11">
        <v>81002.0</v>
      </c>
      <c r="B147" s="104"/>
      <c r="C147" s="105"/>
      <c r="D147" s="90" t="str">
        <f>VLOOKUP(A147,'Master Account'!$A$4:$E$69,2,FALSE)</f>
        <v>Pendapatan Jasa Giro</v>
      </c>
      <c r="E147" s="105"/>
      <c r="F147" s="106"/>
      <c r="G147" s="106">
        <v>1350000.0</v>
      </c>
      <c r="H147" s="96"/>
      <c r="I147" s="101"/>
      <c r="J147" s="93"/>
      <c r="K147" s="94"/>
      <c r="L147" s="95"/>
      <c r="M147" s="93"/>
      <c r="N147" s="94"/>
      <c r="O147" s="91"/>
      <c r="P147" s="91"/>
      <c r="Q147" s="91"/>
    </row>
    <row r="148" spans="8:8" s="12" ht="15.0" customFormat="1">
      <c r="A148" s="11"/>
      <c r="B148" s="104"/>
      <c r="C148" s="105"/>
      <c r="D148" s="105"/>
      <c r="E148" s="105"/>
      <c r="F148" s="106"/>
      <c r="G148" s="106"/>
      <c r="H148" s="96"/>
      <c r="I148" s="101"/>
      <c r="J148" s="93"/>
      <c r="K148" s="94"/>
      <c r="L148" s="95"/>
      <c r="M148" s="93"/>
      <c r="N148" s="94"/>
      <c r="O148" s="91"/>
      <c r="P148" s="91"/>
      <c r="Q148" s="91"/>
    </row>
    <row r="149" spans="8:8" s="12" ht="15.0" customFormat="1">
      <c r="A149" s="11"/>
      <c r="B149" s="104"/>
      <c r="C149" s="105"/>
      <c r="D149" s="108" t="s">
        <v>243</v>
      </c>
      <c r="E149" s="105"/>
      <c r="F149" s="106"/>
      <c r="G149" s="106"/>
      <c r="H149" s="96"/>
      <c r="I149" s="101"/>
      <c r="J149" s="93"/>
      <c r="K149" s="94"/>
      <c r="L149" s="95"/>
      <c r="M149" s="93"/>
      <c r="N149" s="94"/>
      <c r="O149" s="91"/>
      <c r="P149" s="91"/>
      <c r="Q149" s="91"/>
    </row>
    <row r="150" spans="8:8" s="12" ht="15.0" customFormat="1">
      <c r="A150" s="11">
        <v>41000.0</v>
      </c>
      <c r="B150" s="104">
        <v>38748.0</v>
      </c>
      <c r="C150" s="105"/>
      <c r="D150" s="90" t="str">
        <f>VLOOKUP(A150,'Master Account'!$A$4:$E$69,2,FALSE)</f>
        <v>Penjualan </v>
      </c>
      <c r="E150" s="105"/>
      <c r="F150" s="106">
        <f>VLOOKUP(A150,'TRIAL BALANCE'!$B$7:$J$71,9,FALSE)</f>
        <v>1.43895E8</v>
      </c>
      <c r="G150" s="106"/>
      <c r="H150" s="96"/>
      <c r="I150" s="101"/>
      <c r="J150" s="93"/>
      <c r="K150" s="94"/>
      <c r="L150" s="95"/>
      <c r="M150" s="93"/>
      <c r="N150" s="94"/>
      <c r="O150" s="91"/>
      <c r="P150" s="91"/>
      <c r="Q150" s="91"/>
    </row>
    <row r="151" spans="8:8" s="12" ht="15.0" customFormat="1">
      <c r="A151" s="11">
        <v>81001.0</v>
      </c>
      <c r="C151" s="105"/>
      <c r="D151" s="90" t="str">
        <f>VLOOKUP(A151,'Master Account'!$A$4:$E$69,2,FALSE)</f>
        <v>Laba Penjualan Aktiva Tetap</v>
      </c>
      <c r="E151" s="105"/>
      <c r="F151" s="106">
        <f>VLOOKUP(A151,'TRIAL BALANCE'!$B$7:$J$71,9,FALSE)</f>
        <v>1000000.0</v>
      </c>
      <c r="H151" s="96"/>
      <c r="I151" s="101"/>
      <c r="J151" s="93"/>
      <c r="K151" s="94"/>
      <c r="L151" s="95"/>
      <c r="M151" s="93"/>
      <c r="N151" s="94"/>
      <c r="O151" s="91"/>
      <c r="P151" s="91"/>
      <c r="Q151" s="91"/>
    </row>
    <row r="152" spans="8:8" s="12" ht="15.0" customFormat="1">
      <c r="A152" s="11">
        <v>81002.0</v>
      </c>
      <c r="C152" s="105"/>
      <c r="D152" s="90" t="str">
        <f>VLOOKUP(A152,'Master Account'!$A$4:$E$69,2,FALSE)</f>
        <v>Pendapatan Jasa Giro</v>
      </c>
      <c r="E152" s="105"/>
      <c r="F152" s="106">
        <f>VLOOKUP(A152,'TRIAL BALANCE'!$B$7:$J$71,9,FALSE)</f>
        <v>1350000.0</v>
      </c>
      <c r="H152" s="96"/>
      <c r="I152" s="101"/>
      <c r="J152" s="93"/>
      <c r="K152" s="94"/>
      <c r="L152" s="95"/>
      <c r="M152" s="93"/>
      <c r="N152" s="94"/>
      <c r="O152" s="91"/>
      <c r="P152" s="91"/>
      <c r="Q152" s="91"/>
    </row>
    <row r="153" spans="8:8" s="12" ht="15.0" customFormat="1">
      <c r="A153" s="11">
        <v>42000.0</v>
      </c>
      <c r="B153" s="104"/>
      <c r="C153" s="105"/>
      <c r="D153" s="90" t="str">
        <f>VLOOKUP(A153,'Master Account'!$A$4:$E$69,2,FALSE)</f>
        <v>Retur Penjualan </v>
      </c>
      <c r="E153" s="105"/>
      <c r="G153" s="106">
        <f>VLOOKUP(A153,'TRIAL BALANCE'!$B$7:$J$71,8,FALSE)</f>
        <v>2125000.0</v>
      </c>
      <c r="H153" s="96"/>
      <c r="I153" s="101"/>
      <c r="J153" s="93"/>
      <c r="K153" s="94"/>
      <c r="L153" s="95"/>
      <c r="M153" s="93"/>
      <c r="N153" s="94"/>
      <c r="O153" s="91"/>
      <c r="P153" s="91"/>
      <c r="Q153" s="91"/>
    </row>
    <row r="154" spans="8:8" s="12" ht="15.0" customFormat="1">
      <c r="A154" s="11">
        <v>43000.0</v>
      </c>
      <c r="B154" s="104"/>
      <c r="C154" s="105"/>
      <c r="D154" s="90" t="str">
        <f>VLOOKUP(A154,'Master Account'!$A$4:$E$69,2,FALSE)</f>
        <v>Potongan Penjualan</v>
      </c>
      <c r="E154" s="105"/>
      <c r="G154" s="106">
        <f>VLOOKUP(A154,'TRIAL BALANCE'!$B$7:$J$71,8,FALSE)</f>
        <v>3022500.0</v>
      </c>
      <c r="H154" s="96"/>
      <c r="I154" s="101"/>
      <c r="J154" s="93"/>
      <c r="K154" s="94"/>
      <c r="L154" s="95"/>
      <c r="M154" s="93"/>
      <c r="N154" s="94"/>
      <c r="O154" s="91"/>
      <c r="P154" s="91"/>
      <c r="Q154" s="91"/>
    </row>
    <row r="155" spans="8:8" s="12" ht="15.0" customFormat="1">
      <c r="A155" s="11">
        <v>34000.0</v>
      </c>
      <c r="B155" s="104"/>
      <c r="C155" s="105"/>
      <c r="D155" s="90" t="str">
        <f>VLOOKUP(A155,'Master Account'!$A$4:$E$69,2,FALSE)</f>
        <v>Ikhtisar Laba Rugi</v>
      </c>
      <c r="E155" s="105"/>
      <c r="F155" s="106"/>
      <c r="G155" s="106">
        <f>F150+F151+F152-G153-G154</f>
        <v>1.410975E8</v>
      </c>
      <c r="H155" s="96"/>
      <c r="I155" s="101"/>
      <c r="J155" s="93"/>
      <c r="K155" s="94"/>
      <c r="L155" s="95"/>
      <c r="M155" s="93"/>
      <c r="N155" s="94"/>
      <c r="O155" s="91"/>
      <c r="P155" s="91"/>
      <c r="Q155" s="91"/>
    </row>
    <row r="156" spans="8:8" s="12" ht="15.0" customFormat="1">
      <c r="A156" s="11"/>
      <c r="B156" s="104"/>
      <c r="C156" s="105"/>
      <c r="D156" s="90"/>
      <c r="E156" s="105"/>
      <c r="F156" s="106"/>
      <c r="G156" s="106"/>
      <c r="H156" s="96"/>
      <c r="I156" s="101"/>
      <c r="J156" s="93"/>
      <c r="K156" s="94"/>
      <c r="L156" s="95"/>
      <c r="M156" s="93"/>
      <c r="N156" s="94"/>
      <c r="O156" s="91"/>
      <c r="P156" s="91"/>
      <c r="Q156" s="91"/>
    </row>
    <row r="157" spans="8:8" s="12" ht="15.0" customFormat="1">
      <c r="A157" s="11">
        <v>34000.0</v>
      </c>
      <c r="B157" s="104">
        <v>38748.0</v>
      </c>
      <c r="C157" s="105"/>
      <c r="D157" s="90" t="str">
        <f>VLOOKUP(A157,'Master Account'!$A$4:$E$69,2,FALSE)</f>
        <v>Ikhtisar Laba Rugi</v>
      </c>
      <c r="E157" s="105"/>
      <c r="F157" s="106">
        <f>G158</f>
        <v>1.1634E8</v>
      </c>
      <c r="G157" s="106"/>
      <c r="H157" s="96"/>
      <c r="I157" s="101"/>
      <c r="J157" s="93"/>
      <c r="K157" s="94"/>
      <c r="L157" s="95"/>
      <c r="M157" s="93"/>
      <c r="N157" s="94"/>
      <c r="O157" s="91"/>
      <c r="P157" s="91"/>
      <c r="Q157" s="91"/>
    </row>
    <row r="158" spans="8:8" s="12" ht="15.0" customFormat="1">
      <c r="A158" s="11">
        <v>51000.0</v>
      </c>
      <c r="B158" s="104"/>
      <c r="C158" s="105"/>
      <c r="D158" s="90" t="str">
        <f>VLOOKUP(A158,'Master Account'!$A$4:$E$69,2,FALSE)</f>
        <v>Harga Pokok Penjualan</v>
      </c>
      <c r="E158" s="105"/>
      <c r="F158" s="106"/>
      <c r="G158" s="106">
        <f>VLOOKUP(A158,'TRIAL BALANCE'!$B$7:$J$71,8,FALSE)</f>
        <v>1.1634E8</v>
      </c>
      <c r="H158" s="96"/>
      <c r="I158" s="101"/>
      <c r="J158" s="93"/>
      <c r="K158" s="94"/>
      <c r="L158" s="95"/>
      <c r="M158" s="93"/>
      <c r="N158" s="94"/>
      <c r="O158" s="91"/>
      <c r="P158" s="91"/>
      <c r="Q158" s="91"/>
    </row>
    <row r="159" spans="8:8" s="12" ht="15.0" customFormat="1">
      <c r="A159" s="11"/>
      <c r="B159" s="104"/>
      <c r="C159" s="105"/>
      <c r="D159" s="90"/>
      <c r="E159" s="105"/>
      <c r="F159" s="106"/>
      <c r="G159" s="106"/>
      <c r="H159" s="96"/>
      <c r="I159" s="101"/>
      <c r="J159" s="93"/>
      <c r="K159" s="94"/>
      <c r="L159" s="95"/>
      <c r="M159" s="93"/>
      <c r="N159" s="94"/>
      <c r="O159" s="91"/>
      <c r="P159" s="91"/>
      <c r="Q159" s="91"/>
    </row>
    <row r="160" spans="8:8" s="12" ht="15.0" customFormat="1">
      <c r="A160" s="11">
        <v>34000.0</v>
      </c>
      <c r="B160" s="104">
        <v>38748.0</v>
      </c>
      <c r="C160" s="105"/>
      <c r="D160" s="90" t="str">
        <f>VLOOKUP(A160,'Master Account'!$A$4:$E$69,2,FALSE)</f>
        <v>Ikhtisar Laba Rugi</v>
      </c>
      <c r="E160" s="105"/>
      <c r="F160" s="106">
        <f>SUM(G161:G174)</f>
        <v>2.333925E7</v>
      </c>
      <c r="G160" s="106"/>
      <c r="H160" s="96"/>
      <c r="I160" s="101"/>
      <c r="J160" s="93"/>
      <c r="K160" s="94"/>
      <c r="L160" s="95"/>
      <c r="M160" s="93"/>
      <c r="N160" s="94"/>
      <c r="O160" s="91"/>
      <c r="P160" s="91"/>
      <c r="Q160" s="91"/>
    </row>
    <row r="161" spans="8:8" s="12" ht="15.0" customFormat="1">
      <c r="A161" s="11">
        <v>61001.0</v>
      </c>
      <c r="B161" s="104"/>
      <c r="C161" s="105"/>
      <c r="D161" s="90" t="str">
        <f>VLOOKUP(A161,'Master Account'!$A$4:$E$69,2,FALSE)</f>
        <v>Beban Gaji Karyawan</v>
      </c>
      <c r="E161" s="105"/>
      <c r="F161" s="106"/>
      <c r="G161" s="106">
        <f>VLOOKUP(A161,'TRIAL BALANCE'!$B$7:$J$71,8,FALSE)</f>
        <v>1.45E7</v>
      </c>
      <c r="H161" s="96"/>
      <c r="I161" s="101"/>
      <c r="J161" s="93"/>
      <c r="K161" s="94"/>
      <c r="L161" s="95"/>
      <c r="M161" s="93"/>
      <c r="N161" s="94"/>
      <c r="O161" s="91"/>
      <c r="P161" s="91"/>
      <c r="Q161" s="91"/>
    </row>
    <row r="162" spans="8:8" s="12" ht="15.0" customFormat="1">
      <c r="A162" s="11">
        <v>61002.0</v>
      </c>
      <c r="B162" s="104"/>
      <c r="C162" s="105"/>
      <c r="D162" s="90" t="str">
        <f>VLOOKUP(A162,'Master Account'!$A$4:$E$69,2,FALSE)</f>
        <v>Beban Sewa</v>
      </c>
      <c r="E162" s="105"/>
      <c r="F162" s="106"/>
      <c r="G162" s="106">
        <f>VLOOKUP(A162,'TRIAL BALANCE'!$B$7:$J$71,8,FALSE)</f>
        <v>2500000.0</v>
      </c>
      <c r="H162" s="96"/>
      <c r="I162" s="101"/>
      <c r="J162" s="93"/>
      <c r="K162" s="94"/>
      <c r="L162" s="95"/>
      <c r="M162" s="93"/>
      <c r="N162" s="94"/>
      <c r="O162" s="91"/>
      <c r="P162" s="91"/>
      <c r="Q162" s="91"/>
    </row>
    <row r="163" spans="8:8" s="12" ht="15.0" customFormat="1">
      <c r="A163" s="11">
        <v>61003.0</v>
      </c>
      <c r="B163" s="104"/>
      <c r="C163" s="105"/>
      <c r="D163" s="90" t="str">
        <f>VLOOKUP(A163,'Master Account'!$A$4:$E$69,2,FALSE)</f>
        <v>Beban Piutang Tak Tertagih</v>
      </c>
      <c r="E163" s="105"/>
      <c r="F163" s="106"/>
      <c r="G163" s="106">
        <f>VLOOKUP(A163,'TRIAL BALANCE'!$B$7:$J$71,8,FALSE)</f>
        <v>2901750.0</v>
      </c>
      <c r="H163" s="96"/>
      <c r="I163" s="101"/>
      <c r="J163" s="93"/>
      <c r="K163" s="94"/>
      <c r="L163" s="95"/>
      <c r="M163" s="93"/>
      <c r="N163" s="94"/>
      <c r="O163" s="91"/>
      <c r="P163" s="91"/>
      <c r="Q163" s="91"/>
    </row>
    <row r="164" spans="8:8" s="12" ht="15.0" customFormat="1">
      <c r="A164" s="11">
        <v>61004.0</v>
      </c>
      <c r="B164" s="104"/>
      <c r="C164" s="105"/>
      <c r="D164" s="90" t="str">
        <f>VLOOKUP(A164,'Master Account'!$A$4:$E$69,2,FALSE)</f>
        <v>Beban Listrik</v>
      </c>
      <c r="E164" s="105"/>
      <c r="F164" s="106"/>
      <c r="G164" s="106">
        <f>VLOOKUP(A164,'TRIAL BALANCE'!$B$7:$J$71,8,FALSE)</f>
        <v>175000.0</v>
      </c>
      <c r="H164" s="96"/>
      <c r="I164" s="101"/>
      <c r="J164" s="93"/>
      <c r="K164" s="94"/>
      <c r="L164" s="95"/>
      <c r="M164" s="93"/>
      <c r="N164" s="94"/>
      <c r="O164" s="91"/>
      <c r="P164" s="91"/>
      <c r="Q164" s="91"/>
    </row>
    <row r="165" spans="8:8" s="12" ht="15.0" customFormat="1">
      <c r="A165" s="11">
        <v>61005.0</v>
      </c>
      <c r="B165" s="104"/>
      <c r="C165" s="105"/>
      <c r="D165" s="90" t="str">
        <f>VLOOKUP(A165,'Master Account'!$A$4:$E$69,2,FALSE)</f>
        <v>Beban Telepon</v>
      </c>
      <c r="E165" s="105"/>
      <c r="F165" s="106"/>
      <c r="G165" s="106">
        <f>VLOOKUP(A165,'TRIAL BALANCE'!$B$7:$J$71,8,FALSE)</f>
        <v>212500.0</v>
      </c>
      <c r="H165" s="96"/>
      <c r="I165" s="101"/>
      <c r="J165" s="93"/>
      <c r="K165" s="94"/>
      <c r="L165" s="95"/>
      <c r="M165" s="93"/>
      <c r="N165" s="94"/>
      <c r="O165" s="91"/>
      <c r="P165" s="91"/>
      <c r="Q165" s="91"/>
    </row>
    <row r="166" spans="8:8" s="12" ht="15.0" customFormat="1">
      <c r="A166" s="11">
        <v>61006.0</v>
      </c>
      <c r="B166" s="104"/>
      <c r="C166" s="105"/>
      <c r="D166" s="90" t="str">
        <f>VLOOKUP(A166,'Master Account'!$A$4:$E$69,2,FALSE)</f>
        <v>Beban Penyusutan Peralatan Kantor</v>
      </c>
      <c r="E166" s="105"/>
      <c r="F166" s="106"/>
      <c r="G166" s="106">
        <f>VLOOKUP(A166,'TRIAL BALANCE'!$B$7:$J$71,8,FALSE)</f>
        <v>400000.0</v>
      </c>
      <c r="H166" s="96"/>
      <c r="I166" s="101"/>
      <c r="J166" s="93"/>
      <c r="K166" s="94"/>
      <c r="L166" s="95"/>
      <c r="M166" s="93"/>
      <c r="N166" s="94"/>
      <c r="O166" s="91"/>
      <c r="P166" s="91"/>
      <c r="Q166" s="91"/>
    </row>
    <row r="167" spans="8:8" s="12" ht="15.0" customFormat="1">
      <c r="A167" s="11">
        <v>61007.0</v>
      </c>
      <c r="B167" s="104"/>
      <c r="C167" s="105"/>
      <c r="D167" s="90" t="str">
        <f>VLOOKUP(A167,'Master Account'!$A$4:$E$69,2,FALSE)</f>
        <v>Beban Penyusutan Kendaraan</v>
      </c>
      <c r="E167" s="105"/>
      <c r="F167" s="106"/>
      <c r="G167" s="106">
        <f>VLOOKUP(A167,'TRIAL BALANCE'!$B$7:$J$71,8,FALSE)</f>
        <v>500000.0</v>
      </c>
      <c r="H167" s="96"/>
      <c r="I167" s="101"/>
      <c r="J167" s="93"/>
      <c r="K167" s="94"/>
      <c r="L167" s="95"/>
      <c r="M167" s="93"/>
      <c r="N167" s="94"/>
      <c r="O167" s="91"/>
      <c r="P167" s="91"/>
      <c r="Q167" s="91"/>
    </row>
    <row r="168" spans="8:8" s="12" ht="15.0" customFormat="1">
      <c r="A168" s="11">
        <v>61008.0</v>
      </c>
      <c r="B168" s="104"/>
      <c r="C168" s="105"/>
      <c r="D168" s="90" t="str">
        <f>VLOOKUP(A168,'Master Account'!$A$4:$E$69,2,FALSE)</f>
        <v>Beban Pemasaran</v>
      </c>
      <c r="E168" s="105"/>
      <c r="F168" s="106"/>
      <c r="G168" s="106">
        <f>VLOOKUP(A168,'TRIAL BALANCE'!$B$7:$J$71,8,FALSE)</f>
        <v>750000.0</v>
      </c>
      <c r="H168" s="96"/>
      <c r="I168" s="101"/>
      <c r="J168" s="93"/>
      <c r="K168" s="94"/>
      <c r="L168" s="95"/>
      <c r="M168" s="93"/>
      <c r="N168" s="94"/>
      <c r="O168" s="91"/>
      <c r="P168" s="91"/>
      <c r="Q168" s="91"/>
    </row>
    <row r="169" spans="8:8" s="12" ht="15.0" customFormat="1">
      <c r="A169" s="11">
        <v>61009.0</v>
      </c>
      <c r="B169" s="104"/>
      <c r="C169" s="105"/>
      <c r="D169" s="90" t="str">
        <f>VLOOKUP(A169,'Master Account'!$A$4:$E$69,2,FALSE)</f>
        <v>Beban Transportasi</v>
      </c>
      <c r="E169" s="105"/>
      <c r="F169" s="106"/>
      <c r="G169" s="106">
        <f>VLOOKUP(A169,'TRIAL BALANCE'!$B$7:$J$71,8,FALSE)</f>
        <v>250000.0</v>
      </c>
      <c r="H169" s="96"/>
      <c r="I169" s="101"/>
      <c r="J169" s="93"/>
      <c r="K169" s="94"/>
      <c r="L169" s="95"/>
      <c r="M169" s="93"/>
      <c r="N169" s="94"/>
      <c r="O169" s="91"/>
      <c r="P169" s="91"/>
      <c r="Q169" s="91"/>
    </row>
    <row r="170" spans="8:8" s="12" ht="15.0" customFormat="1">
      <c r="A170" s="11">
        <v>61010.0</v>
      </c>
      <c r="B170" s="104"/>
      <c r="C170" s="105"/>
      <c r="D170" s="90" t="str">
        <f>VLOOKUP(A170,'Master Account'!$A$4:$E$69,2,FALSE)</f>
        <v>Beban Perawatan AC</v>
      </c>
      <c r="E170" s="105"/>
      <c r="F170" s="106"/>
      <c r="G170" s="106">
        <f>VLOOKUP(A170,'TRIAL BALANCE'!$B$7:$J$71,8,FALSE)</f>
        <v>200000.0</v>
      </c>
      <c r="H170" s="96"/>
      <c r="I170" s="101"/>
      <c r="J170" s="93"/>
      <c r="K170" s="94"/>
      <c r="L170" s="95"/>
      <c r="M170" s="93"/>
      <c r="N170" s="94"/>
      <c r="O170" s="91"/>
      <c r="P170" s="91"/>
      <c r="Q170" s="91"/>
    </row>
    <row r="171" spans="8:8" s="12" ht="15.0" customFormat="1">
      <c r="A171" s="11">
        <v>61011.0</v>
      </c>
      <c r="B171" s="104"/>
      <c r="C171" s="105"/>
      <c r="D171" s="90" t="str">
        <f>VLOOKUP(A171,'Master Account'!$A$4:$E$69,2,FALSE)</f>
        <v>Beban Perlengkapan Kantor</v>
      </c>
      <c r="E171" s="105"/>
      <c r="F171" s="106"/>
      <c r="G171" s="106">
        <f>VLOOKUP(A171,'TRIAL BALANCE'!$B$7:$J$71,8,FALSE)</f>
        <v>50000.0</v>
      </c>
      <c r="H171" s="96"/>
      <c r="I171" s="101"/>
      <c r="J171" s="93"/>
      <c r="K171" s="94"/>
      <c r="L171" s="95"/>
      <c r="M171" s="93"/>
      <c r="N171" s="94"/>
      <c r="O171" s="91"/>
      <c r="P171" s="91"/>
      <c r="Q171" s="91"/>
    </row>
    <row r="172" spans="8:8" s="12" ht="15.0" customFormat="1">
      <c r="A172" s="11">
        <v>61099.0</v>
      </c>
      <c r="B172" s="104"/>
      <c r="C172" s="105"/>
      <c r="D172" s="90" t="str">
        <f>VLOOKUP(A172,'Master Account'!$A$4:$E$69,2,FALSE)</f>
        <v>Beban Umum Lain-Lain</v>
      </c>
      <c r="E172" s="105"/>
      <c r="F172" s="106"/>
      <c r="G172" s="106">
        <f>VLOOKUP(A172,'TRIAL BALANCE'!$B$7:$J$71,8,FALSE)</f>
        <v>0.0</v>
      </c>
      <c r="H172" s="96"/>
      <c r="I172" s="101"/>
      <c r="J172" s="93"/>
      <c r="K172" s="94"/>
      <c r="L172" s="95"/>
      <c r="M172" s="93"/>
      <c r="N172" s="94"/>
      <c r="O172" s="91"/>
      <c r="P172" s="91"/>
      <c r="Q172" s="91"/>
    </row>
    <row r="173" spans="8:8" s="12" ht="15.0" customFormat="1">
      <c r="A173" s="11">
        <v>91001.0</v>
      </c>
      <c r="B173" s="104"/>
      <c r="C173" s="105"/>
      <c r="D173" s="90" t="str">
        <f>VLOOKUP(A173,'Master Account'!$A$4:$E$69,2,FALSE)</f>
        <v>Beban Administrasi Bank</v>
      </c>
      <c r="E173" s="105"/>
      <c r="F173" s="106"/>
      <c r="G173" s="106">
        <f>VLOOKUP(A173,'TRIAL BALANCE'!$B$7:$J$71,8,FALSE)</f>
        <v>150000.0</v>
      </c>
      <c r="H173" s="96"/>
      <c r="I173" s="101"/>
      <c r="J173" s="93"/>
      <c r="K173" s="94"/>
      <c r="L173" s="95"/>
      <c r="M173" s="93"/>
      <c r="N173" s="94"/>
      <c r="O173" s="91"/>
      <c r="P173" s="91"/>
      <c r="Q173" s="91"/>
    </row>
    <row r="174" spans="8:8" s="12" ht="15.0" customFormat="1">
      <c r="A174" s="11">
        <v>91002.0</v>
      </c>
      <c r="B174" s="104"/>
      <c r="C174" s="105"/>
      <c r="D174" s="90" t="str">
        <f>VLOOKUP(A174,'Master Account'!$A$4:$E$69,2,FALSE)</f>
        <v>Beban Bunga</v>
      </c>
      <c r="E174" s="105"/>
      <c r="F174" s="106"/>
      <c r="G174" s="106">
        <f>VLOOKUP(A174,'TRIAL BALANCE'!$B$7:$J$71,8,FALSE)</f>
        <v>750000.0</v>
      </c>
      <c r="H174" s="96"/>
      <c r="I174" s="101"/>
      <c r="J174" s="93"/>
      <c r="K174" s="94"/>
      <c r="L174" s="95"/>
      <c r="M174" s="93"/>
      <c r="N174" s="94"/>
      <c r="O174" s="91"/>
      <c r="P174" s="91"/>
      <c r="Q174" s="91"/>
    </row>
    <row r="175" spans="8:8" s="12" ht="15.0" customFormat="1">
      <c r="A175" s="11"/>
      <c r="B175" s="104"/>
      <c r="C175" s="105"/>
      <c r="D175" s="90"/>
      <c r="E175" s="105"/>
      <c r="F175" s="106"/>
      <c r="G175" s="106"/>
      <c r="H175" s="96"/>
      <c r="I175" s="101"/>
      <c r="J175" s="93"/>
      <c r="K175" s="94"/>
      <c r="L175" s="95"/>
      <c r="M175" s="93"/>
      <c r="N175" s="94"/>
      <c r="O175" s="91"/>
      <c r="P175" s="91"/>
      <c r="Q175" s="91"/>
    </row>
    <row r="176" spans="8:8" s="12" ht="15.0" customFormat="1">
      <c r="A176" s="11">
        <v>34000.0</v>
      </c>
      <c r="B176" s="104">
        <v>38748.0</v>
      </c>
      <c r="C176" s="105"/>
      <c r="D176" s="90" t="str">
        <f>VLOOKUP(A176,'Master Account'!$A$4:$E$69,2,FALSE)</f>
        <v>Ikhtisar Laba Rugi</v>
      </c>
      <c r="E176" s="105"/>
      <c r="F176" s="106">
        <f>G177</f>
        <v>1418250.0</v>
      </c>
      <c r="G176" s="106"/>
      <c r="H176" s="96"/>
      <c r="I176" s="101"/>
      <c r="J176" s="93"/>
      <c r="K176" s="94"/>
      <c r="L176" s="95"/>
      <c r="M176" s="93"/>
      <c r="N176" s="94"/>
      <c r="O176" s="91"/>
      <c r="P176" s="91"/>
      <c r="Q176" s="91"/>
    </row>
    <row r="177" spans="8:8" s="12" ht="15.0" customFormat="1">
      <c r="A177" s="11">
        <v>32000.0</v>
      </c>
      <c r="B177" s="104"/>
      <c r="C177" s="105"/>
      <c r="D177" s="90" t="str">
        <f>VLOOKUP(A177,'Master Account'!$A$4:$E$69,2,FALSE)</f>
        <v>Laba Ditahan Periode Lalu</v>
      </c>
      <c r="E177" s="105"/>
      <c r="F177" s="106"/>
      <c r="G177" s="106">
        <f>'LAP LR'!H40</f>
        <v>1418250.0</v>
      </c>
      <c r="H177" s="96"/>
      <c r="I177" s="101"/>
      <c r="J177" s="93"/>
      <c r="K177" s="94"/>
      <c r="L177" s="95"/>
      <c r="M177" s="93"/>
      <c r="N177" s="94"/>
      <c r="O177" s="91"/>
      <c r="P177" s="91"/>
      <c r="Q177" s="91"/>
    </row>
    <row r="178" spans="8:8" s="12" ht="15.0" customFormat="1">
      <c r="A178" s="109"/>
      <c r="B178" s="110"/>
      <c r="C178" s="111"/>
      <c r="D178" s="111"/>
      <c r="E178" s="111"/>
      <c r="F178" s="112"/>
      <c r="G178" s="112"/>
      <c r="H178" s="96"/>
      <c r="I178" s="101"/>
      <c r="J178" s="93"/>
      <c r="K178" s="94"/>
      <c r="L178" s="95"/>
      <c r="M178" s="93"/>
      <c r="N178" s="94"/>
      <c r="O178" s="91"/>
      <c r="P178" s="91"/>
      <c r="Q178" s="91"/>
    </row>
    <row r="179" spans="8:8">
      <c r="A179" s="113" t="s">
        <v>144</v>
      </c>
      <c r="B179" s="114"/>
      <c r="C179" s="114"/>
      <c r="D179" s="114"/>
      <c r="E179" s="115"/>
      <c r="F179" s="116">
        <f>SUM(F8:F176)</f>
        <v>7.67819E8</v>
      </c>
      <c r="G179" s="116">
        <f>SUM(G8:G178)</f>
        <v>7.67819E8</v>
      </c>
      <c r="H179" s="117"/>
      <c r="I179" s="118"/>
      <c r="J179" s="15"/>
      <c r="K179" s="119"/>
      <c r="L179" s="120"/>
      <c r="M179" s="15"/>
      <c r="N179" s="119"/>
      <c r="O179" s="121"/>
      <c r="P179" s="121"/>
      <c r="Q179" s="121"/>
    </row>
    <row r="180" spans="8:8">
      <c r="I180" s="122"/>
    </row>
    <row r="181" spans="8:8">
      <c r="F181" s="123"/>
      <c r="I181" s="122"/>
    </row>
    <row r="182" spans="8:8">
      <c r="I182" s="122"/>
    </row>
    <row r="183" spans="8:8">
      <c r="I183" s="122"/>
    </row>
    <row r="184" spans="8:8">
      <c r="I184" s="122"/>
    </row>
  </sheetData>
  <mergeCells count="13">
    <mergeCell ref="A179:D179"/>
    <mergeCell ref="H4:Q4"/>
    <mergeCell ref="B5:B6"/>
    <mergeCell ref="A5:A6"/>
    <mergeCell ref="L5:N5"/>
    <mergeCell ref="E5:E6"/>
    <mergeCell ref="G5:G6"/>
    <mergeCell ref="C5:C6"/>
    <mergeCell ref="O5:Q5"/>
    <mergeCell ref="D5:D6"/>
    <mergeCell ref="I5:K5"/>
    <mergeCell ref="F5:F6"/>
    <mergeCell ref="H5:H6"/>
  </mergeCells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B1:K41"/>
  <sheetViews>
    <sheetView workbookViewId="0" topLeftCell="B13" zoomScale="96">
      <selection activeCell="D2" sqref="D2"/>
    </sheetView>
  </sheetViews>
  <sheetFormatPr defaultRowHeight="15.0" defaultColWidth="10"/>
  <cols>
    <col min="2" max="2" customWidth="0" width="9.140625" style="12"/>
    <col min="3" max="3" customWidth="1" width="19.140625" style="0"/>
    <col min="4" max="4" customWidth="1" width="11.285156" style="0"/>
    <col min="5" max="5" customWidth="1" width="14.855469" style="0"/>
    <col min="7" max="7" customWidth="1" width="16.425781" style="0"/>
    <col min="8" max="8" customWidth="1" width="16.570312" style="0"/>
    <col min="9" max="9" customWidth="1" width="16.285156" style="0"/>
    <col min="10" max="10" customWidth="1" width="17.0" style="0"/>
  </cols>
  <sheetData>
    <row r="1" spans="8:8">
      <c r="C1" s="124" t="s">
        <v>149</v>
      </c>
    </row>
    <row r="2" spans="8:8">
      <c r="C2" s="124" t="s">
        <v>150</v>
      </c>
    </row>
    <row r="3" spans="8:8">
      <c r="D3" s="125"/>
    </row>
    <row r="4" spans="8:8">
      <c r="C4" s="126" t="s">
        <v>145</v>
      </c>
      <c r="D4" s="127" t="s">
        <v>109</v>
      </c>
      <c r="E4" s="128"/>
      <c r="F4" s="128"/>
      <c r="G4" s="128"/>
      <c r="H4" s="129"/>
      <c r="I4" s="129"/>
      <c r="J4" s="130"/>
    </row>
    <row r="5" spans="8:8">
      <c r="C5" s="131" t="s">
        <v>106</v>
      </c>
      <c r="D5" s="127" t="str">
        <f>VLOOKUP(D4,'MASTER BUKU BANTU'!$A$20:$D$26,2,FALSE)</f>
        <v>PT.GUNUNG AGUNG</v>
      </c>
      <c r="E5" s="132"/>
      <c r="F5" s="127"/>
      <c r="G5" s="132"/>
      <c r="H5" s="133"/>
      <c r="I5" s="134"/>
      <c r="J5" s="135"/>
    </row>
    <row r="6" spans="8:8">
      <c r="C6" s="136"/>
      <c r="D6" s="137"/>
      <c r="E6" s="137"/>
      <c r="F6" s="137"/>
      <c r="G6" s="137"/>
      <c r="H6" s="138"/>
      <c r="I6" s="138"/>
      <c r="J6" s="139"/>
    </row>
    <row r="7" spans="8:8">
      <c r="C7" s="140" t="s">
        <v>132</v>
      </c>
      <c r="D7" s="140" t="s">
        <v>133</v>
      </c>
      <c r="E7" s="140" t="s">
        <v>146</v>
      </c>
      <c r="F7" s="140" t="s">
        <v>135</v>
      </c>
      <c r="G7" s="140" t="s">
        <v>136</v>
      </c>
      <c r="H7" s="141" t="s">
        <v>137</v>
      </c>
      <c r="I7" s="141" t="s">
        <v>141</v>
      </c>
      <c r="J7" s="141"/>
    </row>
    <row r="8" spans="8:8">
      <c r="C8" s="140"/>
      <c r="D8" s="140"/>
      <c r="E8" s="140"/>
      <c r="F8" s="140"/>
      <c r="G8" s="140"/>
      <c r="H8" s="141"/>
      <c r="I8" s="142" t="s">
        <v>136</v>
      </c>
      <c r="J8" s="142" t="s">
        <v>137</v>
      </c>
    </row>
    <row r="9" spans="8:8">
      <c r="C9" s="143"/>
      <c r="D9" s="144"/>
      <c r="E9" s="144" t="s">
        <v>147</v>
      </c>
      <c r="F9" s="144"/>
      <c r="G9" s="144"/>
      <c r="H9" s="145"/>
      <c r="I9" s="145">
        <f>VLOOKUP(D4,'MASTER BUKU BANTU'!$A$20:$D$26,4,FALSE)</f>
        <v>1.0E7</v>
      </c>
      <c r="J9" s="145"/>
    </row>
    <row r="10" spans="8:8">
      <c r="C10" s="143"/>
      <c r="D10" s="144"/>
      <c r="E10" s="144" t="s">
        <v>148</v>
      </c>
      <c r="F10" s="144"/>
      <c r="G10" s="145">
        <f>SUMIF('JURNAL UMUM'!$E$8:$G$178,'BUKU PEMBANTU PIUTANG'!D4,'JURNAL UMUM'!$F$8:$F$178)</f>
        <v>3.0535E7</v>
      </c>
      <c r="H10" s="145">
        <f>SUMIF('JURNAL UMUM'!$E$8:$G$178,'BUKU PEMBANTU PIUTANG'!D4,'JURNAL UMUM'!$E$8:$E$178)</f>
        <v>0.0</v>
      </c>
      <c r="I10" s="145">
        <f>IF(I9+G10&gt;J9+H10,((I9+G10)-(J9+H10)),0)</f>
        <v>4.0535E7</v>
      </c>
      <c r="J10" s="145">
        <f>IF(J9+H10&gt;I9+G10,((J9+H10)-(I9+G10)),0)</f>
        <v>0.0</v>
      </c>
    </row>
    <row r="11" spans="8:8">
      <c r="C11" s="146"/>
      <c r="D11" s="144"/>
      <c r="E11" s="144"/>
      <c r="F11" s="144"/>
      <c r="G11" s="147"/>
      <c r="H11" s="145"/>
      <c r="I11" s="145"/>
      <c r="J11" s="145"/>
    </row>
    <row r="13" spans="8:8">
      <c r="D13" s="125"/>
    </row>
    <row r="14" spans="8:8">
      <c r="C14" s="126" t="s">
        <v>145</v>
      </c>
      <c r="D14" s="127" t="s">
        <v>112</v>
      </c>
      <c r="E14" s="128"/>
      <c r="F14" s="128"/>
      <c r="G14" s="128"/>
      <c r="H14" s="129"/>
      <c r="I14" s="129"/>
      <c r="J14" s="130"/>
    </row>
    <row r="15" spans="8:8">
      <c r="C15" s="131" t="s">
        <v>106</v>
      </c>
      <c r="D15" s="127" t="str">
        <f>VLOOKUP(D14,'MASTER BUKU BANTU'!$A$20:$D$26,2,FALSE)</f>
        <v>TOKO BUKU UTAMA</v>
      </c>
      <c r="E15" s="132"/>
      <c r="F15" s="127"/>
      <c r="G15" s="132"/>
      <c r="H15" s="133"/>
      <c r="I15" s="134"/>
      <c r="J15" s="135"/>
    </row>
    <row r="16" spans="8:8">
      <c r="C16" s="136"/>
      <c r="D16" s="137"/>
      <c r="E16" s="137"/>
      <c r="F16" s="137"/>
      <c r="G16" s="137"/>
      <c r="H16" s="138"/>
      <c r="I16" s="138"/>
      <c r="J16" s="139"/>
    </row>
    <row r="17" spans="8:8">
      <c r="C17" s="140" t="s">
        <v>132</v>
      </c>
      <c r="D17" s="140" t="s">
        <v>133</v>
      </c>
      <c r="E17" s="140" t="s">
        <v>146</v>
      </c>
      <c r="F17" s="140" t="s">
        <v>135</v>
      </c>
      <c r="G17" s="140" t="s">
        <v>136</v>
      </c>
      <c r="H17" s="141" t="s">
        <v>137</v>
      </c>
      <c r="I17" s="141" t="s">
        <v>141</v>
      </c>
      <c r="J17" s="141"/>
    </row>
    <row r="18" spans="8:8">
      <c r="C18" s="140"/>
      <c r="D18" s="140"/>
      <c r="E18" s="140"/>
      <c r="F18" s="140"/>
      <c r="G18" s="140"/>
      <c r="H18" s="141"/>
      <c r="I18" s="142" t="s">
        <v>136</v>
      </c>
      <c r="J18" s="142" t="s">
        <v>137</v>
      </c>
    </row>
    <row r="19" spans="8:8">
      <c r="C19" s="143"/>
      <c r="D19" s="144"/>
      <c r="E19" s="144" t="s">
        <v>147</v>
      </c>
      <c r="F19" s="144"/>
      <c r="G19" s="144"/>
      <c r="H19" s="145"/>
      <c r="I19" s="145">
        <f>VLOOKUP(D14,'MASTER BUKU BANTU'!$A$20:$D$26,4,FALSE)</f>
        <v>1.5E7</v>
      </c>
      <c r="J19" s="145"/>
    </row>
    <row r="20" spans="8:8">
      <c r="C20" s="143"/>
      <c r="D20" s="144"/>
      <c r="E20" s="144" t="s">
        <v>148</v>
      </c>
      <c r="F20" s="144"/>
      <c r="G20" s="145">
        <f>SUMIF('JURNAL UMUM'!$E$8:$G$178,'BUKU PEMBANTU PIUTANG'!D14,'JURNAL UMUM'!$F$8:$F$178)</f>
        <v>2.9425E7</v>
      </c>
      <c r="H20" s="145">
        <f>SUMIF('JURNAL UMUM'!$E$8:$G$178,'BUKU PEMBANTU PIUTANG'!D14,'JURNAL UMUM'!$E$8:$E$178)</f>
        <v>0.0</v>
      </c>
      <c r="I20" s="145">
        <f>IF(I19+G20&gt;J19+H20,((I19+G20)-(J19+H20)),0)</f>
        <v>4.4425E7</v>
      </c>
      <c r="J20" s="145">
        <f>IF(J19+H20&gt;I19+G20,((J19+H20)-(I19+G20)),0)</f>
        <v>0.0</v>
      </c>
    </row>
    <row r="21" spans="8:8">
      <c r="C21" s="146"/>
      <c r="D21" s="144"/>
      <c r="E21" s="144"/>
      <c r="F21" s="144"/>
      <c r="G21" s="147"/>
      <c r="H21" s="145"/>
      <c r="I21" s="145"/>
      <c r="J21" s="145"/>
    </row>
    <row r="23" spans="8:8">
      <c r="D23" s="125"/>
    </row>
    <row r="24" spans="8:8">
      <c r="C24" s="126" t="s">
        <v>145</v>
      </c>
      <c r="D24" s="127" t="s">
        <v>114</v>
      </c>
      <c r="E24" s="128"/>
      <c r="F24" s="128"/>
      <c r="G24" s="128"/>
      <c r="H24" s="129"/>
      <c r="I24" s="129"/>
      <c r="J24" s="130"/>
    </row>
    <row r="25" spans="8:8">
      <c r="C25" s="131" t="s">
        <v>106</v>
      </c>
      <c r="D25" s="127" t="str">
        <f>VLOOKUP(D24,'MASTER BUKU BANTU'!$A$20:$D$26,2,FALSE)</f>
        <v>CV MEBEL ABADI</v>
      </c>
      <c r="E25" s="132"/>
      <c r="F25" s="127"/>
      <c r="G25" s="132"/>
      <c r="H25" s="133"/>
      <c r="I25" s="134"/>
      <c r="J25" s="135"/>
    </row>
    <row r="26" spans="8:8">
      <c r="C26" s="136"/>
      <c r="D26" s="137"/>
      <c r="E26" s="137"/>
      <c r="F26" s="137"/>
      <c r="G26" s="137"/>
      <c r="H26" s="138"/>
      <c r="I26" s="138"/>
      <c r="J26" s="139"/>
    </row>
    <row r="27" spans="8:8">
      <c r="C27" s="140" t="s">
        <v>132</v>
      </c>
      <c r="D27" s="140" t="s">
        <v>133</v>
      </c>
      <c r="E27" s="140" t="s">
        <v>146</v>
      </c>
      <c r="F27" s="140" t="s">
        <v>135</v>
      </c>
      <c r="G27" s="140" t="s">
        <v>136</v>
      </c>
      <c r="H27" s="141" t="s">
        <v>137</v>
      </c>
      <c r="I27" s="141" t="s">
        <v>141</v>
      </c>
      <c r="J27" s="141"/>
    </row>
    <row r="28" spans="8:8">
      <c r="C28" s="140"/>
      <c r="D28" s="140"/>
      <c r="E28" s="140"/>
      <c r="F28" s="140"/>
      <c r="G28" s="140"/>
      <c r="H28" s="141"/>
      <c r="I28" s="142" t="s">
        <v>136</v>
      </c>
      <c r="J28" s="142" t="s">
        <v>137</v>
      </c>
    </row>
    <row r="29" spans="8:8">
      <c r="C29" s="143"/>
      <c r="D29" s="144"/>
      <c r="E29" s="144" t="s">
        <v>147</v>
      </c>
      <c r="F29" s="144"/>
      <c r="G29" s="144"/>
      <c r="H29" s="145"/>
      <c r="I29" s="145">
        <f>VLOOKUP(D24,'MASTER BUKU BANTU'!$A$20:$D$26,4,FALSE)</f>
        <v>7500000.0</v>
      </c>
      <c r="J29" s="145"/>
    </row>
    <row r="30" spans="8:8">
      <c r="C30" s="143"/>
      <c r="D30" s="144"/>
      <c r="E30" s="144" t="s">
        <v>148</v>
      </c>
      <c r="F30" s="144"/>
      <c r="G30" s="145">
        <f>SUMIF('JURNAL UMUM'!$E$8:$G$178,'BUKU PEMBANTU PIUTANG'!D24,'JURNAL UMUM'!$F$8:$F$178)</f>
        <v>0.0</v>
      </c>
      <c r="H30" s="145">
        <f>SUMIF('JURNAL UMUM'!$E$8:$G$178,'BUKU PEMBANTU PIUTANG'!D24,'JURNAL UMUM'!$E$8:$E$178)</f>
        <v>0.0</v>
      </c>
      <c r="I30" s="145">
        <f>IF(I29+G30&gt;J29+H30,((I29+G30)-(J29+H30)),0)</f>
        <v>7500000.0</v>
      </c>
      <c r="J30" s="145">
        <f>IF(J29+H30&gt;I29+G30,((J29+H30)-(I29+G30)),0)</f>
        <v>0.0</v>
      </c>
    </row>
    <row r="31" spans="8:8">
      <c r="C31" s="146"/>
      <c r="D31" s="144"/>
      <c r="E31" s="144"/>
      <c r="F31" s="144"/>
      <c r="G31" s="147"/>
      <c r="H31" s="145"/>
      <c r="I31" s="145"/>
      <c r="J31" s="145"/>
    </row>
    <row r="33" spans="8:8">
      <c r="D33" s="125"/>
    </row>
    <row r="34" spans="8:8">
      <c r="C34" s="126" t="s">
        <v>145</v>
      </c>
      <c r="D34" s="127" t="s">
        <v>117</v>
      </c>
      <c r="E34" s="128"/>
      <c r="F34" s="128"/>
      <c r="G34" s="128"/>
      <c r="H34" s="129"/>
      <c r="I34" s="129"/>
      <c r="J34" s="130"/>
    </row>
    <row r="35" spans="8:8">
      <c r="C35" s="131" t="s">
        <v>106</v>
      </c>
      <c r="D35" s="127" t="str">
        <f>VLOOKUP(D34,'MASTER BUKU BANTU'!$A$20:$D$26,2,FALSE)</f>
        <v>CV SEMBILAN SEMBILAN</v>
      </c>
      <c r="E35" s="132"/>
      <c r="F35" s="127"/>
      <c r="G35" s="132"/>
      <c r="H35" s="133"/>
      <c r="I35" s="134"/>
      <c r="J35" s="135"/>
    </row>
    <row r="36" spans="8:8">
      <c r="C36" s="136"/>
      <c r="D36" s="137"/>
      <c r="E36" s="137"/>
      <c r="F36" s="137"/>
      <c r="G36" s="137"/>
      <c r="H36" s="138"/>
      <c r="I36" s="138"/>
      <c r="J36" s="139"/>
    </row>
    <row r="37" spans="8:8">
      <c r="C37" s="140" t="s">
        <v>132</v>
      </c>
      <c r="D37" s="140" t="s">
        <v>133</v>
      </c>
      <c r="E37" s="140" t="s">
        <v>146</v>
      </c>
      <c r="F37" s="140" t="s">
        <v>135</v>
      </c>
      <c r="G37" s="140" t="s">
        <v>136</v>
      </c>
      <c r="H37" s="141" t="s">
        <v>137</v>
      </c>
      <c r="I37" s="141" t="s">
        <v>141</v>
      </c>
      <c r="J37" s="141"/>
    </row>
    <row r="38" spans="8:8">
      <c r="C38" s="140"/>
      <c r="D38" s="140"/>
      <c r="E38" s="140"/>
      <c r="F38" s="140"/>
      <c r="G38" s="140"/>
      <c r="H38" s="141"/>
      <c r="I38" s="142" t="s">
        <v>136</v>
      </c>
      <c r="J38" s="142" t="s">
        <v>137</v>
      </c>
    </row>
    <row r="39" spans="8:8">
      <c r="C39" s="143"/>
      <c r="D39" s="144"/>
      <c r="E39" s="144" t="s">
        <v>147</v>
      </c>
      <c r="F39" s="144"/>
      <c r="G39" s="144"/>
      <c r="H39" s="145"/>
      <c r="I39" s="145">
        <f>VLOOKUP(D34,'MASTER BUKU BANTU'!$A$20:$D$26,4,FALSE)</f>
        <v>1.5E7</v>
      </c>
      <c r="J39" s="145"/>
    </row>
    <row r="40" spans="8:8">
      <c r="C40" s="143"/>
      <c r="D40" s="144"/>
      <c r="E40" s="144" t="s">
        <v>148</v>
      </c>
      <c r="F40" s="144"/>
      <c r="G40" s="145">
        <f>SUMIF('JURNAL UMUM'!$E$8:$G$178,'BUKU PEMBANTU PIUTANG'!D34,'JURNAL UMUM'!$F$8:$F$178)</f>
        <v>0.0</v>
      </c>
      <c r="H40" s="145">
        <f>SUMIF('JURNAL UMUM'!$E$8:$G$178,'BUKU PEMBANTU PIUTANG'!D34,'JURNAL UMUM'!$E$8:$E$178)</f>
        <v>0.0</v>
      </c>
      <c r="I40" s="145">
        <f>IF(I39+G40&gt;J39+H40,((I39+G40)-(J39+H40)),0)</f>
        <v>1.5E7</v>
      </c>
      <c r="J40" s="145">
        <f>IF(J39+H40&gt;I39+G40,((J39+H40)-(I39+G40)),0)</f>
        <v>0.0</v>
      </c>
    </row>
    <row r="41" spans="8:8">
      <c r="C41" s="146"/>
      <c r="D41" s="144"/>
      <c r="E41" s="144"/>
      <c r="F41" s="144"/>
      <c r="G41" s="147"/>
      <c r="H41" s="145"/>
      <c r="I41" s="145"/>
      <c r="J41" s="145"/>
    </row>
  </sheetData>
  <mergeCells count="28">
    <mergeCell ref="C27:C28"/>
    <mergeCell ref="D7:D8"/>
    <mergeCell ref="E17:E18"/>
    <mergeCell ref="G17:G18"/>
    <mergeCell ref="I7:J7"/>
    <mergeCell ref="G27:G28"/>
    <mergeCell ref="H17:H18"/>
    <mergeCell ref="H7:H8"/>
    <mergeCell ref="H27:H28"/>
    <mergeCell ref="I27:J27"/>
    <mergeCell ref="I37:J37"/>
    <mergeCell ref="G37:G38"/>
    <mergeCell ref="C7:C8"/>
    <mergeCell ref="E27:E28"/>
    <mergeCell ref="F7:F8"/>
    <mergeCell ref="F17:F18"/>
    <mergeCell ref="C37:C38"/>
    <mergeCell ref="D37:D38"/>
    <mergeCell ref="E37:E38"/>
    <mergeCell ref="F37:F38"/>
    <mergeCell ref="F27:F28"/>
    <mergeCell ref="C17:C18"/>
    <mergeCell ref="E7:E8"/>
    <mergeCell ref="D17:D18"/>
    <mergeCell ref="D27:D28"/>
    <mergeCell ref="H37:H38"/>
    <mergeCell ref="I17:J17"/>
    <mergeCell ref="G7:G8"/>
  </mergeCell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dimension ref="B1:J38"/>
  <sheetViews>
    <sheetView workbookViewId="0" topLeftCell="B13" zoomScale="64">
      <selection activeCell="B5" sqref="B5:I7"/>
    </sheetView>
  </sheetViews>
  <sheetFormatPr defaultRowHeight="15.0" defaultColWidth="10"/>
  <cols>
    <col min="2" max="2" customWidth="1" width="16.0" style="0"/>
    <col min="3" max="3" customWidth="1" width="16.425781" style="0"/>
    <col min="4" max="4" customWidth="1" width="17.140625" style="0"/>
    <col min="6" max="6" customWidth="1" width="13.285156" style="0"/>
    <col min="7" max="7" customWidth="1" width="14.7109375" style="0"/>
    <col min="8" max="8" customWidth="1" width="13.425781" style="0"/>
    <col min="9" max="9" customWidth="1" width="13.0" style="0"/>
  </cols>
  <sheetData>
    <row r="2" spans="8:8" ht="16.5">
      <c r="B2" s="148" t="s">
        <v>69</v>
      </c>
      <c r="C2" s="149"/>
      <c r="D2" s="149"/>
      <c r="E2" s="149"/>
      <c r="F2" s="149"/>
      <c r="G2" s="149"/>
      <c r="H2" s="149"/>
      <c r="I2" s="150"/>
    </row>
    <row r="3" spans="8:8">
      <c r="B3" s="151" t="s">
        <v>152</v>
      </c>
      <c r="C3" s="152"/>
      <c r="D3" s="152"/>
      <c r="E3" s="152"/>
      <c r="F3" s="152"/>
      <c r="G3" s="152"/>
      <c r="H3" s="152"/>
      <c r="I3" s="153"/>
    </row>
    <row r="4" spans="8:8">
      <c r="B4" s="154"/>
      <c r="C4" s="155"/>
      <c r="D4" s="155"/>
      <c r="E4" s="155"/>
      <c r="F4" s="155"/>
      <c r="G4" s="155"/>
      <c r="H4" s="155"/>
      <c r="I4" s="156"/>
    </row>
    <row r="5" spans="8:8">
      <c r="B5" s="126" t="s">
        <v>153</v>
      </c>
      <c r="C5" s="157" t="s">
        <v>121</v>
      </c>
      <c r="D5" s="128"/>
      <c r="E5" s="128"/>
      <c r="F5" s="128"/>
      <c r="G5" s="158"/>
      <c r="H5" s="158"/>
      <c r="I5" s="159"/>
    </row>
    <row r="6" spans="8:8">
      <c r="B6" s="131" t="s">
        <v>154</v>
      </c>
      <c r="C6" s="127" t="str">
        <f>VLOOKUP(C5,'MASTER BUKU BANTU'!$A$32:$D$36,2,FALSE)</f>
        <v>CV USAHA MAJU</v>
      </c>
      <c r="D6" s="132"/>
      <c r="E6" s="127"/>
      <c r="F6" s="132"/>
      <c r="G6" s="160"/>
      <c r="H6" s="161"/>
      <c r="I6" s="162"/>
    </row>
    <row r="7" spans="8:8">
      <c r="B7" s="163"/>
      <c r="C7" s="127"/>
      <c r="D7" s="127"/>
      <c r="E7" s="127"/>
      <c r="F7" s="127"/>
      <c r="G7" s="161"/>
      <c r="H7" s="161"/>
      <c r="I7" s="162"/>
    </row>
    <row r="8" spans="8:8">
      <c r="B8" s="164" t="s">
        <v>132</v>
      </c>
      <c r="C8" s="165" t="s">
        <v>133</v>
      </c>
      <c r="D8" s="165" t="s">
        <v>146</v>
      </c>
      <c r="E8" s="165" t="s">
        <v>135</v>
      </c>
      <c r="F8" s="165" t="s">
        <v>136</v>
      </c>
      <c r="G8" s="166" t="s">
        <v>137</v>
      </c>
      <c r="H8" s="166" t="s">
        <v>141</v>
      </c>
      <c r="I8" s="167"/>
    </row>
    <row r="9" spans="8:8">
      <c r="B9" s="168"/>
      <c r="C9" s="169"/>
      <c r="D9" s="169"/>
      <c r="E9" s="169"/>
      <c r="F9" s="169"/>
      <c r="G9" s="170"/>
      <c r="H9" s="171" t="s">
        <v>136</v>
      </c>
      <c r="I9" s="172" t="s">
        <v>137</v>
      </c>
    </row>
    <row r="10" spans="8:8">
      <c r="B10" s="173"/>
      <c r="C10" s="174"/>
      <c r="D10" s="174" t="s">
        <v>147</v>
      </c>
      <c r="E10" s="174"/>
      <c r="F10" s="174"/>
      <c r="G10" s="175"/>
      <c r="H10" s="175"/>
      <c r="I10" s="176">
        <f>VLOOKUP(C5,'MASTER BUKU BANTU'!$A$32:$D$36,4,FALSE)</f>
        <v>2.4E7</v>
      </c>
    </row>
    <row r="11" spans="8:8">
      <c r="B11" s="177"/>
      <c r="C11" s="178"/>
      <c r="D11" s="178" t="s">
        <v>155</v>
      </c>
      <c r="E11" s="178"/>
      <c r="F11" s="179">
        <f>SUMIF('JURNAL UMUM'!$E$8:$G$178,'BUKU PEMBANTU HUTANG'!C5,'JURNAL UMUM'!$F$8:$F$178)</f>
        <v>2.43575E7</v>
      </c>
      <c r="G11" s="179">
        <f>SUMIF('JURNAL UMUM'!$E$8:$G$178,'BUKU PEMBANTU HUTANG'!C5,'JURNAL UMUM'!$E$8:$E$178)</f>
        <v>0.0</v>
      </c>
      <c r="H11" s="179">
        <f>IF(H10+F11&gt;I10+G11,((H10+F11)-(I10+G11)),0)</f>
        <v>357500.0</v>
      </c>
      <c r="I11" s="180">
        <f>IF(I10+G11&gt;H10+F11,((I10+G11)-(H10+F11)),0)</f>
        <v>0.0</v>
      </c>
    </row>
    <row r="12" spans="8:8">
      <c r="B12" s="181">
        <v>42460.0</v>
      </c>
      <c r="C12" s="182"/>
      <c r="D12" s="182"/>
      <c r="E12" s="183"/>
      <c r="F12" s="184"/>
      <c r="G12" s="185"/>
      <c r="H12" s="185"/>
      <c r="I12" s="186"/>
    </row>
    <row r="15" spans="8:8" ht="16.5">
      <c r="B15" s="148" t="s">
        <v>69</v>
      </c>
      <c r="C15" s="149"/>
      <c r="D15" s="149"/>
      <c r="E15" s="149"/>
      <c r="F15" s="149"/>
      <c r="G15" s="149"/>
      <c r="H15" s="149"/>
      <c r="I15" s="150"/>
    </row>
    <row r="16" spans="8:8">
      <c r="B16" s="151" t="s">
        <v>152</v>
      </c>
      <c r="C16" s="152"/>
      <c r="D16" s="152"/>
      <c r="E16" s="152"/>
      <c r="F16" s="152"/>
      <c r="G16" s="152"/>
      <c r="H16" s="152"/>
      <c r="I16" s="153"/>
    </row>
    <row r="17" spans="8:8">
      <c r="B17" s="154"/>
      <c r="C17" s="155"/>
      <c r="D17" s="155"/>
      <c r="E17" s="155"/>
      <c r="F17" s="155"/>
      <c r="G17" s="155"/>
      <c r="H17" s="155"/>
      <c r="I17" s="156"/>
    </row>
    <row r="18" spans="8:8">
      <c r="B18" s="126" t="s">
        <v>153</v>
      </c>
      <c r="C18" s="157" t="s">
        <v>124</v>
      </c>
      <c r="D18" s="128"/>
      <c r="E18" s="128"/>
      <c r="F18" s="128"/>
      <c r="G18" s="158"/>
      <c r="H18" s="158"/>
      <c r="I18" s="159"/>
    </row>
    <row r="19" spans="8:8">
      <c r="B19" s="131" t="s">
        <v>154</v>
      </c>
      <c r="C19" s="127" t="str">
        <f>VLOOKUP(C18,'MASTER BUKU BANTU'!$A$32:$D$36,2,FALSE)</f>
        <v>PT KARYA BERSAMA</v>
      </c>
      <c r="D19" s="132"/>
      <c r="E19" s="127"/>
      <c r="F19" s="132"/>
      <c r="G19" s="160"/>
      <c r="H19" s="161"/>
      <c r="I19" s="162"/>
    </row>
    <row r="20" spans="8:8">
      <c r="B20" s="163"/>
      <c r="C20" s="127"/>
      <c r="D20" s="127"/>
      <c r="E20" s="127"/>
      <c r="F20" s="127"/>
      <c r="G20" s="161"/>
      <c r="H20" s="161"/>
      <c r="I20" s="162"/>
    </row>
    <row r="21" spans="8:8">
      <c r="B21" s="164" t="s">
        <v>132</v>
      </c>
      <c r="C21" s="165" t="s">
        <v>133</v>
      </c>
      <c r="D21" s="165" t="s">
        <v>146</v>
      </c>
      <c r="E21" s="165" t="s">
        <v>135</v>
      </c>
      <c r="F21" s="165" t="s">
        <v>136</v>
      </c>
      <c r="G21" s="166" t="s">
        <v>137</v>
      </c>
      <c r="H21" s="166" t="s">
        <v>141</v>
      </c>
      <c r="I21" s="167"/>
    </row>
    <row r="22" spans="8:8">
      <c r="B22" s="168"/>
      <c r="C22" s="169"/>
      <c r="D22" s="169"/>
      <c r="E22" s="169"/>
      <c r="F22" s="169"/>
      <c r="G22" s="170"/>
      <c r="H22" s="171" t="s">
        <v>136</v>
      </c>
      <c r="I22" s="172" t="s">
        <v>137</v>
      </c>
    </row>
    <row r="23" spans="8:8">
      <c r="B23" s="173"/>
      <c r="C23" s="174"/>
      <c r="D23" s="174" t="s">
        <v>147</v>
      </c>
      <c r="E23" s="174"/>
      <c r="F23" s="174"/>
      <c r="G23" s="175"/>
      <c r="H23" s="175"/>
      <c r="I23" s="176">
        <f>VLOOKUP(C18,'MASTER BUKU BANTU'!$A$32:$D$36,4,FALSE)</f>
        <v>1.6E7</v>
      </c>
    </row>
    <row r="24" spans="8:8">
      <c r="B24" s="177"/>
      <c r="C24" s="178"/>
      <c r="D24" s="178" t="s">
        <v>155</v>
      </c>
      <c r="E24" s="178"/>
      <c r="F24" s="179">
        <f>SUMIF('JURNAL UMUM'!$E$8:$G$178,'BUKU PEMBANTU HUTANG'!C18,'JURNAL UMUM'!$F$8:$F$178)</f>
        <v>0.0</v>
      </c>
      <c r="G24" s="179">
        <f>SUMIF('JURNAL UMUM'!$E$8:$G$178,'BUKU PEMBANTU HUTANG'!C18,'JURNAL UMUM'!$E$8:$E$178)</f>
        <v>0.0</v>
      </c>
      <c r="H24" s="179">
        <f>IF(H23+F24&gt;I23+G24,((H23+F24)-(I23+G24)),0)</f>
        <v>0.0</v>
      </c>
      <c r="I24" s="180">
        <f>IF(I23+G24&gt;H23+F24,((I23+G24)-(H23+F24)),0)</f>
        <v>1.6E7</v>
      </c>
    </row>
    <row r="25" spans="8:8">
      <c r="B25" s="181">
        <v>42460.0</v>
      </c>
      <c r="C25" s="182"/>
      <c r="D25" s="182"/>
      <c r="E25" s="183"/>
      <c r="F25" s="184"/>
      <c r="G25" s="185"/>
      <c r="H25" s="185"/>
      <c r="I25" s="186"/>
    </row>
    <row r="28" spans="8:8" ht="16.5">
      <c r="B28" s="187" t="s">
        <v>69</v>
      </c>
      <c r="C28" s="128"/>
      <c r="D28" s="128"/>
      <c r="E28" s="128"/>
      <c r="F28" s="128"/>
      <c r="G28" s="128"/>
      <c r="H28" s="128"/>
      <c r="I28" s="188"/>
    </row>
    <row r="29" spans="8:8">
      <c r="B29" s="131" t="s">
        <v>152</v>
      </c>
      <c r="C29" s="127"/>
      <c r="D29" s="127"/>
      <c r="E29" s="127"/>
      <c r="F29" s="127"/>
      <c r="G29" s="127"/>
      <c r="H29" s="127"/>
      <c r="I29" s="189"/>
    </row>
    <row r="30" spans="8:8">
      <c r="B30" s="136"/>
      <c r="C30" s="137"/>
      <c r="D30" s="137"/>
      <c r="E30" s="137"/>
      <c r="F30" s="137"/>
      <c r="G30" s="137"/>
      <c r="H30" s="137"/>
      <c r="I30" s="190"/>
    </row>
    <row r="31" spans="8:8">
      <c r="B31" s="191" t="s">
        <v>153</v>
      </c>
      <c r="C31" s="192" t="s">
        <v>126</v>
      </c>
      <c r="D31" s="149"/>
      <c r="E31" s="149"/>
      <c r="F31" s="149"/>
      <c r="G31" s="193"/>
      <c r="H31" s="193"/>
      <c r="I31" s="194"/>
    </row>
    <row r="32" spans="8:8">
      <c r="B32" s="151" t="s">
        <v>154</v>
      </c>
      <c r="C32" s="152" t="str">
        <f>VLOOKUP(C31,'MASTER BUKU BANTU'!$A$32:$D$36,2,FALSE)</f>
        <v>UD BERSAUDARA</v>
      </c>
      <c r="D32" s="195"/>
      <c r="E32" s="152"/>
      <c r="F32" s="195"/>
      <c r="G32" s="196"/>
      <c r="H32" s="197"/>
      <c r="I32" s="198"/>
    </row>
    <row r="33" spans="8:8">
      <c r="B33" s="199"/>
      <c r="C33" s="152"/>
      <c r="D33" s="152"/>
      <c r="E33" s="152"/>
      <c r="F33" s="152"/>
      <c r="G33" s="197"/>
      <c r="H33" s="197"/>
      <c r="I33" s="198"/>
    </row>
    <row r="34" spans="8:8">
      <c r="B34" s="164" t="s">
        <v>132</v>
      </c>
      <c r="C34" s="165" t="s">
        <v>133</v>
      </c>
      <c r="D34" s="165" t="s">
        <v>146</v>
      </c>
      <c r="E34" s="165" t="s">
        <v>135</v>
      </c>
      <c r="F34" s="165" t="s">
        <v>136</v>
      </c>
      <c r="G34" s="166" t="s">
        <v>137</v>
      </c>
      <c r="H34" s="166" t="s">
        <v>141</v>
      </c>
      <c r="I34" s="167"/>
    </row>
    <row r="35" spans="8:8">
      <c r="B35" s="168"/>
      <c r="C35" s="169"/>
      <c r="D35" s="169"/>
      <c r="E35" s="169"/>
      <c r="F35" s="169"/>
      <c r="G35" s="170"/>
      <c r="H35" s="171" t="s">
        <v>136</v>
      </c>
      <c r="I35" s="172" t="s">
        <v>137</v>
      </c>
    </row>
    <row r="36" spans="8:8">
      <c r="B36" s="173"/>
      <c r="C36" s="174"/>
      <c r="D36" s="174" t="s">
        <v>147</v>
      </c>
      <c r="E36" s="174"/>
      <c r="F36" s="174"/>
      <c r="G36" s="175"/>
      <c r="H36" s="175"/>
      <c r="I36" s="176">
        <f>VLOOKUP(C31,'MASTER BUKU BANTU'!$A$32:$D$36,4,FALSE)</f>
        <v>3.5E7</v>
      </c>
    </row>
    <row r="37" spans="8:8">
      <c r="B37" s="177"/>
      <c r="C37" s="178"/>
      <c r="D37" s="178" t="s">
        <v>155</v>
      </c>
      <c r="E37" s="178"/>
      <c r="F37" s="179">
        <f>SUMIF('JURNAL UMUM'!$E$8:$G$178,'BUKU PEMBANTU HUTANG'!C31,'JURNAL UMUM'!$F$8:$F$178)</f>
        <v>2.2E7</v>
      </c>
      <c r="G37" s="179">
        <f>SUMIF('JURNAL UMUM'!$E$8:$G$178,'BUKU PEMBANTU HUTANG'!C31,'JURNAL UMUM'!$E$8:$E$178)</f>
        <v>0.0</v>
      </c>
      <c r="H37" s="179">
        <f>IF(H36+F37&gt;I36+G37,((H36+F37)-(I36+G37)),0)</f>
        <v>0.0</v>
      </c>
      <c r="I37" s="180">
        <f>IF(I36+G37&gt;H36+F37,((I36+G37)-(H36+F37)),0)</f>
        <v>1.3E7</v>
      </c>
    </row>
    <row r="38" spans="8:8">
      <c r="B38" s="181">
        <v>42460.0</v>
      </c>
      <c r="C38" s="182"/>
      <c r="D38" s="182"/>
      <c r="E38" s="183"/>
      <c r="F38" s="184"/>
      <c r="G38" s="185"/>
      <c r="H38" s="185"/>
      <c r="I38" s="186"/>
    </row>
  </sheetData>
  <mergeCells count="21">
    <mergeCell ref="H21:I21"/>
    <mergeCell ref="C34:C35"/>
    <mergeCell ref="B21:B22"/>
    <mergeCell ref="H34:I34"/>
    <mergeCell ref="D8:D9"/>
    <mergeCell ref="F8:F9"/>
    <mergeCell ref="G8:G9"/>
    <mergeCell ref="B8:B9"/>
    <mergeCell ref="H8:I8"/>
    <mergeCell ref="C8:C9"/>
    <mergeCell ref="E8:E9"/>
    <mergeCell ref="B34:B35"/>
    <mergeCell ref="E21:E22"/>
    <mergeCell ref="G34:G35"/>
    <mergeCell ref="F21:F22"/>
    <mergeCell ref="D34:D35"/>
    <mergeCell ref="C21:C22"/>
    <mergeCell ref="D21:D22"/>
    <mergeCell ref="E34:E35"/>
    <mergeCell ref="F34:F35"/>
    <mergeCell ref="G21:G22"/>
  </mergeCells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dimension ref="B1:N130"/>
  <sheetViews>
    <sheetView workbookViewId="0" zoomScale="40">
      <selection activeCell="C130" sqref="C130"/>
    </sheetView>
  </sheetViews>
  <sheetFormatPr defaultRowHeight="15.0" defaultColWidth="10"/>
  <cols>
    <col min="1" max="1" customWidth="1" width="5.4257812" style="0"/>
    <col min="2" max="2" customWidth="1" width="6.140625" style="0"/>
    <col min="3" max="3" customWidth="1" width="15.285156" style="0"/>
    <col min="4" max="4" customWidth="1" width="19.140625" style="0"/>
    <col min="5" max="5" customWidth="1" width="8.140625" style="0"/>
    <col min="6" max="6" customWidth="1" width="14.140625" style="0"/>
    <col min="7" max="7" customWidth="1" width="14.425781" style="0"/>
    <col min="8" max="8" customWidth="1" width="8.0" style="0"/>
    <col min="9" max="9" customWidth="1" width="12.855469" style="0"/>
    <col min="10" max="10" customWidth="1" width="13.0" style="0"/>
    <col min="12" max="12" customWidth="1" width="14.0" style="0"/>
    <col min="13" max="13" customWidth="1" width="14.140625" style="0"/>
  </cols>
  <sheetData>
    <row r="2" spans="8:8">
      <c r="B2" s="200" t="s">
        <v>151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88"/>
    </row>
    <row r="3" spans="8:8">
      <c r="B3" s="131" t="s">
        <v>156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89"/>
    </row>
    <row r="4" spans="8:8">
      <c r="B4" s="163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89"/>
    </row>
    <row r="5" spans="8:8" ht="16.5">
      <c r="B5" s="131" t="s">
        <v>157</v>
      </c>
      <c r="C5" s="127"/>
      <c r="D5" s="201" t="s">
        <v>77</v>
      </c>
      <c r="E5" s="202"/>
      <c r="F5" s="127"/>
      <c r="G5" s="127"/>
      <c r="H5" s="127"/>
      <c r="I5" s="127"/>
      <c r="J5" s="127"/>
      <c r="K5" s="127"/>
      <c r="L5" s="127"/>
      <c r="M5" s="189"/>
    </row>
    <row r="6" spans="8:8">
      <c r="B6" s="131" t="s">
        <v>158</v>
      </c>
      <c r="C6" s="127"/>
      <c r="D6" s="127" t="str">
        <f>VLOOKUP(D5,'MASTER BUKU BANTU'!$A$5:$H$15,2,FALSE)</f>
        <v>QUEEN C405</v>
      </c>
      <c r="E6" s="202"/>
      <c r="F6" s="127"/>
      <c r="G6" s="127"/>
      <c r="H6" s="127"/>
      <c r="I6" s="127"/>
      <c r="J6" s="127"/>
      <c r="K6" s="127"/>
      <c r="L6" s="127"/>
      <c r="M6" s="189"/>
    </row>
    <row r="7" spans="8:8">
      <c r="B7" s="203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5"/>
    </row>
    <row r="8" spans="8:8">
      <c r="B8" s="164" t="s">
        <v>159</v>
      </c>
      <c r="C8" s="165" t="s">
        <v>160</v>
      </c>
      <c r="D8" s="165" t="s">
        <v>108</v>
      </c>
      <c r="E8" s="165" t="s">
        <v>161</v>
      </c>
      <c r="F8" s="165"/>
      <c r="G8" s="165"/>
      <c r="H8" s="165" t="s">
        <v>162</v>
      </c>
      <c r="I8" s="165"/>
      <c r="J8" s="165"/>
      <c r="K8" s="165" t="s">
        <v>163</v>
      </c>
      <c r="L8" s="165"/>
      <c r="M8" s="206"/>
    </row>
    <row r="9" spans="8:8">
      <c r="B9" s="168"/>
      <c r="C9" s="169"/>
      <c r="D9" s="169"/>
      <c r="E9" s="207" t="s">
        <v>164</v>
      </c>
      <c r="F9" s="207" t="s">
        <v>165</v>
      </c>
      <c r="G9" s="207" t="s">
        <v>71</v>
      </c>
      <c r="H9" s="207" t="s">
        <v>164</v>
      </c>
      <c r="I9" s="207" t="s">
        <v>165</v>
      </c>
      <c r="J9" s="207" t="s">
        <v>71</v>
      </c>
      <c r="K9" s="207" t="s">
        <v>164</v>
      </c>
      <c r="L9" s="207" t="s">
        <v>165</v>
      </c>
      <c r="M9" s="208" t="s">
        <v>71</v>
      </c>
    </row>
    <row r="10" spans="8:8">
      <c r="B10" s="209"/>
      <c r="C10" s="210"/>
      <c r="D10" s="211" t="s">
        <v>147</v>
      </c>
      <c r="E10" s="211"/>
      <c r="F10" s="211"/>
      <c r="G10" s="211"/>
      <c r="H10" s="211"/>
      <c r="I10" s="211"/>
      <c r="J10" s="211"/>
      <c r="K10" s="212">
        <f>VLOOKUP(D5,'MASTER BUKU BANTU'!$A$5:$H$15,6,FALSE)</f>
        <v>15.0</v>
      </c>
      <c r="L10" s="213">
        <f>VLOOKUP(D5,'MASTER BUKU BANTU'!$A$5:$H$15,7,FALSE)</f>
        <v>1200000.0</v>
      </c>
      <c r="M10" s="214">
        <f>K10*L10</f>
        <v>1.8E7</v>
      </c>
    </row>
    <row r="11" spans="8:8">
      <c r="B11" s="215"/>
      <c r="C11" s="216"/>
      <c r="D11" s="8" t="s">
        <v>166</v>
      </c>
      <c r="E11" s="217">
        <f>SUMIF('JURNAL UMUM'!$H$8:$M$178,'BUKU PEMBANTU PERSEDIAAN'!D5,'JURNAL UMUM'!$I$8:$I$178)</f>
        <v>10.0</v>
      </c>
      <c r="F11" s="218">
        <f>G11/E11</f>
        <v>1200000.0</v>
      </c>
      <c r="G11" s="219">
        <f>SUMIF('JURNAL UMUM'!$H$8:$N$178,'BUKU PEMBANTU PERSEDIAAN'!D5,'JURNAL UMUM'!$K$8:$K$178)</f>
        <v>1.2E7</v>
      </c>
      <c r="H11" s="8">
        <f>SUMIF('JURNAL UMUM'!$H$8:$M$178,'BUKU PEMBANTU PERSEDIAAN'!D5,'JURNAL UMUM'!$L$8:$L$178)</f>
        <v>18.0</v>
      </c>
      <c r="I11" s="220">
        <f>J11/H11</f>
        <v>1200000.0</v>
      </c>
      <c r="J11" s="219">
        <f>SUMIF('JURNAL UMUM'!$H$8:$M$178,'BUKU PEMBANTU PERSEDIAAN'!D5,'JURNAL UMUM'!$N$8:$N$178)</f>
        <v>2.16E7</v>
      </c>
      <c r="K11" s="221">
        <f>K10+E11-H11</f>
        <v>7.0</v>
      </c>
      <c r="L11" s="219">
        <f>M11/K11</f>
        <v>1200000.0</v>
      </c>
      <c r="M11" s="222">
        <f>M10+G11-J11</f>
        <v>8400000.0</v>
      </c>
    </row>
    <row r="12" spans="8:8">
      <c r="B12" s="223"/>
      <c r="C12" s="224"/>
      <c r="D12" s="224"/>
      <c r="E12" s="224"/>
      <c r="F12" s="224"/>
      <c r="G12" s="224"/>
      <c r="H12" s="224"/>
      <c r="I12" s="224"/>
      <c r="J12" s="224"/>
      <c r="K12" s="225"/>
      <c r="L12" s="225"/>
      <c r="M12" s="226"/>
    </row>
    <row r="13" spans="8:8">
      <c r="B13" s="227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228"/>
    </row>
    <row r="16" spans="8:8">
      <c r="B16" s="200" t="s">
        <v>151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88"/>
    </row>
    <row r="17" spans="8:8">
      <c r="B17" s="131" t="s">
        <v>156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89"/>
    </row>
    <row r="18" spans="8:8">
      <c r="B18" s="163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89"/>
    </row>
    <row r="19" spans="8:8" ht="16.5">
      <c r="B19" s="131" t="s">
        <v>157</v>
      </c>
      <c r="C19" s="127"/>
      <c r="D19" s="201" t="s">
        <v>79</v>
      </c>
      <c r="E19" s="202"/>
      <c r="F19" s="127"/>
      <c r="G19" s="127"/>
      <c r="H19" s="127"/>
      <c r="I19" s="127"/>
      <c r="J19" s="127"/>
      <c r="K19" s="127"/>
      <c r="L19" s="127"/>
      <c r="M19" s="189"/>
    </row>
    <row r="20" spans="8:8">
      <c r="B20" s="131" t="s">
        <v>158</v>
      </c>
      <c r="C20" s="127"/>
      <c r="D20" s="127" t="str">
        <f>VLOOKUP(D19,'MASTER BUKU BANTU'!$A$5:$H$15,2,FALSE)</f>
        <v>QUEEN C605</v>
      </c>
      <c r="E20" s="202"/>
      <c r="F20" s="127"/>
      <c r="G20" s="127"/>
      <c r="H20" s="127"/>
      <c r="I20" s="127"/>
      <c r="J20" s="127"/>
      <c r="K20" s="127"/>
      <c r="L20" s="127"/>
      <c r="M20" s="189"/>
    </row>
    <row r="21" spans="8:8">
      <c r="B21" s="163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89"/>
    </row>
    <row r="22" spans="8:8">
      <c r="B22" s="164" t="s">
        <v>159</v>
      </c>
      <c r="C22" s="165" t="s">
        <v>160</v>
      </c>
      <c r="D22" s="165" t="s">
        <v>108</v>
      </c>
      <c r="E22" s="165" t="s">
        <v>161</v>
      </c>
      <c r="F22" s="165"/>
      <c r="G22" s="165"/>
      <c r="H22" s="165" t="s">
        <v>162</v>
      </c>
      <c r="I22" s="165"/>
      <c r="J22" s="165"/>
      <c r="K22" s="165" t="s">
        <v>163</v>
      </c>
      <c r="L22" s="165"/>
      <c r="M22" s="206"/>
    </row>
    <row r="23" spans="8:8">
      <c r="B23" s="168"/>
      <c r="C23" s="169"/>
      <c r="D23" s="169"/>
      <c r="E23" s="207" t="s">
        <v>164</v>
      </c>
      <c r="F23" s="207" t="s">
        <v>165</v>
      </c>
      <c r="G23" s="207" t="s">
        <v>71</v>
      </c>
      <c r="H23" s="207" t="s">
        <v>164</v>
      </c>
      <c r="I23" s="207" t="s">
        <v>165</v>
      </c>
      <c r="J23" s="207" t="s">
        <v>71</v>
      </c>
      <c r="K23" s="207" t="s">
        <v>164</v>
      </c>
      <c r="L23" s="207" t="s">
        <v>165</v>
      </c>
      <c r="M23" s="208" t="s">
        <v>71</v>
      </c>
    </row>
    <row r="24" spans="8:8">
      <c r="B24" s="209"/>
      <c r="C24" s="210"/>
      <c r="D24" s="211" t="s">
        <v>147</v>
      </c>
      <c r="E24" s="211"/>
      <c r="F24" s="211"/>
      <c r="G24" s="211"/>
      <c r="H24" s="211"/>
      <c r="I24" s="211"/>
      <c r="J24" s="211"/>
      <c r="K24" s="212">
        <f>VLOOKUP(D19,'MASTER BUKU BANTU'!$A$5:$H$15,6,FALSE)</f>
        <v>50.0</v>
      </c>
      <c r="L24" s="213">
        <f>VLOOKUP(D19,'MASTER BUKU BANTU'!$A$5:$H$15,7,FALSE)</f>
        <v>325000.0</v>
      </c>
      <c r="M24" s="214">
        <f>K24*L24</f>
        <v>1.625E7</v>
      </c>
    </row>
    <row r="25" spans="8:8">
      <c r="B25" s="215"/>
      <c r="C25" s="216"/>
      <c r="D25" s="8" t="s">
        <v>166</v>
      </c>
      <c r="E25" s="217">
        <f>SUMIF('JURNAL UMUM'!$H$8:$M$178,'BUKU PEMBANTU PERSEDIAAN'!D19,'JURNAL UMUM'!$I$8:$I$178)</f>
        <v>29.0</v>
      </c>
      <c r="F25" s="218">
        <f>G25/E25</f>
        <v>325000.0</v>
      </c>
      <c r="G25" s="219">
        <f>SUMIF('JURNAL UMUM'!$H$8:$N$178,'BUKU PEMBANTU PERSEDIAAN'!D19,'JURNAL UMUM'!$K$8:$K$178)</f>
        <v>9425000.0</v>
      </c>
      <c r="H25" s="8">
        <f>SUMIF('JURNAL UMUM'!$H$8:$M$178,'BUKU PEMBANTU PERSEDIAAN'!D19,'JURNAL UMUM'!$L$8:$L$178)</f>
        <v>64.0</v>
      </c>
      <c r="I25" s="220">
        <f>J25/H25</f>
        <v>325000.0</v>
      </c>
      <c r="J25" s="219">
        <f>SUMIF('JURNAL UMUM'!$H$8:$M$178,'BUKU PEMBANTU PERSEDIAAN'!D19,'JURNAL UMUM'!$N$8:$N$178)</f>
        <v>2.08E7</v>
      </c>
      <c r="K25" s="221">
        <f>K24+E25-H25</f>
        <v>15.0</v>
      </c>
      <c r="L25" s="219">
        <f>M25/K25</f>
        <v>325000.0</v>
      </c>
      <c r="M25" s="222">
        <f>M24+G25-J25</f>
        <v>4875000.0</v>
      </c>
    </row>
    <row r="26" spans="8:8">
      <c r="B26" s="223"/>
      <c r="C26" s="224"/>
      <c r="D26" s="224"/>
      <c r="E26" s="224"/>
      <c r="F26" s="224"/>
      <c r="G26" s="224"/>
      <c r="H26" s="224"/>
      <c r="I26" s="224"/>
      <c r="J26" s="224"/>
      <c r="K26" s="225"/>
      <c r="L26" s="225"/>
      <c r="M26" s="226"/>
    </row>
    <row r="27" spans="8:8">
      <c r="B27" s="227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228"/>
    </row>
    <row r="30" spans="8:8">
      <c r="B30" s="200" t="s">
        <v>151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88"/>
    </row>
    <row r="31" spans="8:8">
      <c r="B31" s="131" t="s">
        <v>156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89"/>
    </row>
    <row r="32" spans="8:8">
      <c r="B32" s="163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89"/>
    </row>
    <row r="33" spans="8:8" ht="16.5">
      <c r="B33" s="131" t="s">
        <v>157</v>
      </c>
      <c r="C33" s="127"/>
      <c r="D33" s="201" t="s">
        <v>81</v>
      </c>
      <c r="E33" s="202"/>
      <c r="F33" s="127"/>
      <c r="G33" s="127"/>
      <c r="H33" s="127"/>
      <c r="I33" s="127"/>
      <c r="J33" s="127"/>
      <c r="K33" s="127"/>
      <c r="L33" s="127"/>
      <c r="M33" s="189"/>
    </row>
    <row r="34" spans="8:8">
      <c r="B34" s="131" t="s">
        <v>158</v>
      </c>
      <c r="C34" s="127"/>
      <c r="D34" s="127" t="str">
        <f>VLOOKUP(D33,'MASTER BUKU BANTU'!$A$5:$H$15,2,FALSE)</f>
        <v>STONES C109</v>
      </c>
      <c r="E34" s="202"/>
      <c r="F34" s="127"/>
      <c r="G34" s="127"/>
      <c r="H34" s="127"/>
      <c r="I34" s="127"/>
      <c r="J34" s="127"/>
      <c r="K34" s="127"/>
      <c r="L34" s="127"/>
      <c r="M34" s="189"/>
    </row>
    <row r="35" spans="8:8">
      <c r="B35" s="163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89"/>
    </row>
    <row r="36" spans="8:8">
      <c r="B36" s="164" t="s">
        <v>159</v>
      </c>
      <c r="C36" s="165" t="s">
        <v>160</v>
      </c>
      <c r="D36" s="165" t="s">
        <v>108</v>
      </c>
      <c r="E36" s="165" t="s">
        <v>161</v>
      </c>
      <c r="F36" s="165"/>
      <c r="G36" s="165"/>
      <c r="H36" s="165" t="s">
        <v>162</v>
      </c>
      <c r="I36" s="165"/>
      <c r="J36" s="165"/>
      <c r="K36" s="165" t="s">
        <v>163</v>
      </c>
      <c r="L36" s="165"/>
      <c r="M36" s="206"/>
    </row>
    <row r="37" spans="8:8">
      <c r="B37" s="168"/>
      <c r="C37" s="169"/>
      <c r="D37" s="169"/>
      <c r="E37" s="207" t="s">
        <v>164</v>
      </c>
      <c r="F37" s="207" t="s">
        <v>165</v>
      </c>
      <c r="G37" s="207" t="s">
        <v>71</v>
      </c>
      <c r="H37" s="207" t="s">
        <v>164</v>
      </c>
      <c r="I37" s="207" t="s">
        <v>165</v>
      </c>
      <c r="J37" s="207" t="s">
        <v>71</v>
      </c>
      <c r="K37" s="207" t="s">
        <v>164</v>
      </c>
      <c r="L37" s="207" t="s">
        <v>165</v>
      </c>
      <c r="M37" s="208" t="s">
        <v>71</v>
      </c>
    </row>
    <row r="38" spans="8:8">
      <c r="B38" s="209"/>
      <c r="C38" s="210"/>
      <c r="D38" s="211" t="s">
        <v>147</v>
      </c>
      <c r="E38" s="211"/>
      <c r="F38" s="211"/>
      <c r="G38" s="211"/>
      <c r="H38" s="211"/>
      <c r="I38" s="211"/>
      <c r="J38" s="211"/>
      <c r="K38" s="212">
        <f>VLOOKUP(D33,'MASTER BUKU BANTU'!$A$5:$H$15,6,FALSE)</f>
        <v>20.0</v>
      </c>
      <c r="L38" s="213">
        <f>VLOOKUP(D33,'MASTER BUKU BANTU'!$A$5:$H$15,7,FALSE)</f>
        <v>1400000.0</v>
      </c>
      <c r="M38" s="214">
        <f>K38*L38</f>
        <v>2.8E7</v>
      </c>
    </row>
    <row r="39" spans="8:8">
      <c r="B39" s="215"/>
      <c r="C39" s="216"/>
      <c r="D39" s="8" t="s">
        <v>166</v>
      </c>
      <c r="E39" s="217">
        <f>SUMIF('JURNAL UMUM'!$H$8:$M$178,'BUKU PEMBANTU PERSEDIAAN'!D33,'JURNAL UMUM'!$I$8:$I$178)</f>
        <v>0.0</v>
      </c>
      <c r="F39" s="218" t="e">
        <f>G39/E39</f>
        <v>#DIV/0!</v>
      </c>
      <c r="G39" s="219">
        <f>SUMIF('JURNAL UMUM'!$H$8:$N$178,'BUKU PEMBANTU PERSEDIAAN'!D33,'JURNAL UMUM'!$K$8:$K$178)</f>
        <v>0.0</v>
      </c>
      <c r="H39" s="8">
        <f>SUMIF('JURNAL UMUM'!$H$8:$M$178,'BUKU PEMBANTU PERSEDIAAN'!D33,'JURNAL UMUM'!$L$8:$L$178)</f>
        <v>12.0</v>
      </c>
      <c r="I39" s="220">
        <f>J39/H39</f>
        <v>1400000.0</v>
      </c>
      <c r="J39" s="219">
        <f>SUMIF('JURNAL UMUM'!$H$8:$M$178,'BUKU PEMBANTU PERSEDIAAN'!D33,'JURNAL UMUM'!$N$8:$N$178)</f>
        <v>1.68E7</v>
      </c>
      <c r="K39" s="221">
        <f>K38+E39-H39</f>
        <v>8.0</v>
      </c>
      <c r="L39" s="219">
        <f>M39/K39</f>
        <v>1400000.0</v>
      </c>
      <c r="M39" s="222">
        <f>M38+G39-J39</f>
        <v>1.12E7</v>
      </c>
    </row>
    <row r="40" spans="8:8">
      <c r="B40" s="223"/>
      <c r="C40" s="224"/>
      <c r="D40" s="224"/>
      <c r="E40" s="224"/>
      <c r="F40" s="224"/>
      <c r="G40" s="224"/>
      <c r="H40" s="224"/>
      <c r="I40" s="224"/>
      <c r="J40" s="224"/>
      <c r="K40" s="225"/>
      <c r="L40" s="225"/>
      <c r="M40" s="226"/>
    </row>
    <row r="41" spans="8:8">
      <c r="B41" s="227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228"/>
    </row>
    <row r="44" spans="8:8">
      <c r="B44" s="200" t="s">
        <v>151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88"/>
    </row>
    <row r="45" spans="8:8">
      <c r="B45" s="131" t="s">
        <v>156</v>
      </c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89"/>
    </row>
    <row r="46" spans="8:8">
      <c r="B46" s="163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89"/>
    </row>
    <row r="47" spans="8:8" ht="16.5">
      <c r="B47" s="131" t="s">
        <v>157</v>
      </c>
      <c r="C47" s="127"/>
      <c r="D47" s="201" t="s">
        <v>83</v>
      </c>
      <c r="E47" s="202"/>
      <c r="F47" s="127"/>
      <c r="G47" s="127"/>
      <c r="H47" s="127"/>
      <c r="I47" s="127"/>
      <c r="J47" s="127"/>
      <c r="K47" s="127"/>
      <c r="L47" s="127"/>
      <c r="M47" s="189"/>
    </row>
    <row r="48" spans="8:8">
      <c r="B48" s="131" t="s">
        <v>158</v>
      </c>
      <c r="C48" s="127"/>
      <c r="D48" s="127" t="str">
        <f>VLOOKUP(D47,'MASTER BUKU BANTU'!$A$5:$H$15,2,FALSE)</f>
        <v>STONES C303</v>
      </c>
      <c r="E48" s="202"/>
      <c r="F48" s="127"/>
      <c r="G48" s="127"/>
      <c r="H48" s="127"/>
      <c r="I48" s="127"/>
      <c r="J48" s="127"/>
      <c r="K48" s="127"/>
      <c r="L48" s="127"/>
      <c r="M48" s="189"/>
    </row>
    <row r="49" spans="8:8">
      <c r="B49" s="163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89"/>
    </row>
    <row r="50" spans="8:8">
      <c r="B50" s="164" t="s">
        <v>159</v>
      </c>
      <c r="C50" s="165" t="s">
        <v>160</v>
      </c>
      <c r="D50" s="165" t="s">
        <v>108</v>
      </c>
      <c r="E50" s="165" t="s">
        <v>161</v>
      </c>
      <c r="F50" s="165"/>
      <c r="G50" s="165"/>
      <c r="H50" s="165" t="s">
        <v>162</v>
      </c>
      <c r="I50" s="165"/>
      <c r="J50" s="165"/>
      <c r="K50" s="165" t="s">
        <v>163</v>
      </c>
      <c r="L50" s="165"/>
      <c r="M50" s="206"/>
    </row>
    <row r="51" spans="8:8">
      <c r="B51" s="168"/>
      <c r="C51" s="169"/>
      <c r="D51" s="169"/>
      <c r="E51" s="207" t="s">
        <v>164</v>
      </c>
      <c r="F51" s="207" t="s">
        <v>165</v>
      </c>
      <c r="G51" s="207" t="s">
        <v>71</v>
      </c>
      <c r="H51" s="207" t="s">
        <v>164</v>
      </c>
      <c r="I51" s="207" t="s">
        <v>165</v>
      </c>
      <c r="J51" s="207" t="s">
        <v>71</v>
      </c>
      <c r="K51" s="207" t="s">
        <v>164</v>
      </c>
      <c r="L51" s="207" t="s">
        <v>165</v>
      </c>
      <c r="M51" s="208" t="s">
        <v>71</v>
      </c>
    </row>
    <row r="52" spans="8:8">
      <c r="B52" s="209"/>
      <c r="C52" s="210"/>
      <c r="D52" s="211" t="s">
        <v>147</v>
      </c>
      <c r="E52" s="211"/>
      <c r="F52" s="211"/>
      <c r="G52" s="211"/>
      <c r="H52" s="211"/>
      <c r="I52" s="211"/>
      <c r="J52" s="211"/>
      <c r="K52" s="212">
        <f>VLOOKUP(D47,'MASTER BUKU BANTU'!$A$5:$H$15,6,FALSE)</f>
        <v>15.0</v>
      </c>
      <c r="L52" s="213">
        <f>VLOOKUP(D47,'MASTER BUKU BANTU'!$A$5:$H$15,7,FALSE)</f>
        <v>1200000.0</v>
      </c>
      <c r="M52" s="214">
        <f>K52*L52</f>
        <v>1.8E7</v>
      </c>
    </row>
    <row r="53" spans="8:8">
      <c r="B53" s="215"/>
      <c r="C53" s="216"/>
      <c r="D53" s="8" t="s">
        <v>166</v>
      </c>
      <c r="E53" s="217">
        <f>SUMIF('JURNAL UMUM'!$H$8:$M$178,'BUKU PEMBANTU PERSEDIAAN'!D47,'JURNAL UMUM'!$I$8:$I$178)</f>
        <v>0.0</v>
      </c>
      <c r="F53" s="218" t="e">
        <f>G53/E53</f>
        <v>#DIV/0!</v>
      </c>
      <c r="G53" s="219">
        <f>SUMIF('JURNAL UMUM'!$H$8:$N$178,'BUKU PEMBANTU PERSEDIAAN'!D47,'JURNAL UMUM'!$K$8:$K$178)</f>
        <v>0.0</v>
      </c>
      <c r="H53" s="8">
        <f>SUMIF('JURNAL UMUM'!$H$8:$M$178,'BUKU PEMBANTU PERSEDIAAN'!D47,'JURNAL UMUM'!$L$8:$L$178)</f>
        <v>0.0</v>
      </c>
      <c r="I53" s="220" t="e">
        <f>J53/H53</f>
        <v>#DIV/0!</v>
      </c>
      <c r="J53" s="219">
        <f>SUMIF('JURNAL UMUM'!$H$8:$M$178,'BUKU PEMBANTU PERSEDIAAN'!D47,'JURNAL UMUM'!$N$8:$N$178)</f>
        <v>0.0</v>
      </c>
      <c r="K53" s="221">
        <f>K52+E53-H53</f>
        <v>15.0</v>
      </c>
      <c r="L53" s="219">
        <f>M53/K53</f>
        <v>1200000.0</v>
      </c>
      <c r="M53" s="222">
        <f>M52+G53-J53</f>
        <v>1.8E7</v>
      </c>
    </row>
    <row r="54" spans="8:8">
      <c r="B54" s="223"/>
      <c r="C54" s="224"/>
      <c r="D54" s="224"/>
      <c r="E54" s="224"/>
      <c r="F54" s="224"/>
      <c r="G54" s="224"/>
      <c r="H54" s="224"/>
      <c r="I54" s="224"/>
      <c r="J54" s="224"/>
      <c r="K54" s="225"/>
      <c r="L54" s="225"/>
      <c r="M54" s="226"/>
    </row>
    <row r="55" spans="8:8">
      <c r="B55" s="227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228"/>
    </row>
    <row r="58" spans="8:8">
      <c r="B58" s="200" t="s">
        <v>151</v>
      </c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88"/>
    </row>
    <row r="59" spans="8:8">
      <c r="B59" s="131" t="s">
        <v>156</v>
      </c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89"/>
    </row>
    <row r="60" spans="8:8">
      <c r="B60" s="163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89"/>
    </row>
    <row r="61" spans="8:8" ht="16.5">
      <c r="B61" s="131" t="s">
        <v>157</v>
      </c>
      <c r="C61" s="127"/>
      <c r="D61" s="201" t="s">
        <v>85</v>
      </c>
      <c r="E61" s="202"/>
      <c r="F61" s="127"/>
      <c r="G61" s="127"/>
      <c r="H61" s="127"/>
      <c r="I61" s="127"/>
      <c r="J61" s="127"/>
      <c r="K61" s="127"/>
      <c r="L61" s="127"/>
      <c r="M61" s="189"/>
    </row>
    <row r="62" spans="8:8">
      <c r="B62" s="131" t="s">
        <v>158</v>
      </c>
      <c r="C62" s="127"/>
      <c r="D62" s="127" t="str">
        <f>VLOOKUP(D61,'MASTER BUKU BANTU'!$A$5:$H$15,2,FALSE)</f>
        <v>EBIET D708</v>
      </c>
      <c r="E62" s="202"/>
      <c r="F62" s="127"/>
      <c r="G62" s="127"/>
      <c r="H62" s="127"/>
      <c r="I62" s="127"/>
      <c r="J62" s="127"/>
      <c r="K62" s="127"/>
      <c r="L62" s="127"/>
      <c r="M62" s="189"/>
    </row>
    <row r="63" spans="8:8">
      <c r="B63" s="163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89"/>
    </row>
    <row r="64" spans="8:8">
      <c r="B64" s="164" t="s">
        <v>159</v>
      </c>
      <c r="C64" s="165" t="s">
        <v>160</v>
      </c>
      <c r="D64" s="165" t="s">
        <v>108</v>
      </c>
      <c r="E64" s="165" t="s">
        <v>161</v>
      </c>
      <c r="F64" s="165"/>
      <c r="G64" s="165"/>
      <c r="H64" s="165" t="s">
        <v>162</v>
      </c>
      <c r="I64" s="165"/>
      <c r="J64" s="165"/>
      <c r="K64" s="165" t="s">
        <v>163</v>
      </c>
      <c r="L64" s="165"/>
      <c r="M64" s="206"/>
    </row>
    <row r="65" spans="8:8">
      <c r="B65" s="168"/>
      <c r="C65" s="169"/>
      <c r="D65" s="169"/>
      <c r="E65" s="207" t="s">
        <v>164</v>
      </c>
      <c r="F65" s="207" t="s">
        <v>165</v>
      </c>
      <c r="G65" s="207" t="s">
        <v>71</v>
      </c>
      <c r="H65" s="207" t="s">
        <v>164</v>
      </c>
      <c r="I65" s="207" t="s">
        <v>165</v>
      </c>
      <c r="J65" s="207" t="s">
        <v>71</v>
      </c>
      <c r="K65" s="207" t="s">
        <v>164</v>
      </c>
      <c r="L65" s="207" t="s">
        <v>165</v>
      </c>
      <c r="M65" s="208" t="s">
        <v>71</v>
      </c>
    </row>
    <row r="66" spans="8:8">
      <c r="B66" s="209"/>
      <c r="C66" s="210"/>
      <c r="D66" s="211" t="s">
        <v>147</v>
      </c>
      <c r="E66" s="211"/>
      <c r="F66" s="211"/>
      <c r="G66" s="211"/>
      <c r="H66" s="211"/>
      <c r="I66" s="211"/>
      <c r="J66" s="211"/>
      <c r="K66" s="212">
        <f>VLOOKUP(D61,'MASTER BUKU BANTU'!$A$5:$H$15,6,FALSE)</f>
        <v>8.0</v>
      </c>
      <c r="L66" s="213">
        <f>VLOOKUP(D61,'MASTER BUKU BANTU'!$A$5:$H$15,7,FALSE)</f>
        <v>2850000.0</v>
      </c>
      <c r="M66" s="214">
        <f>K66*L66</f>
        <v>2.28E7</v>
      </c>
    </row>
    <row r="67" spans="8:8">
      <c r="B67" s="215"/>
      <c r="C67" s="216"/>
      <c r="D67" s="8" t="s">
        <v>166</v>
      </c>
      <c r="E67" s="217">
        <f>SUMIF('JURNAL UMUM'!$H$8:$M$178,'BUKU PEMBANTU PERSEDIAAN'!D61,'JURNAL UMUM'!$I$8:$I$178)</f>
        <v>0.0</v>
      </c>
      <c r="F67" s="218" t="e">
        <f>G67/E67</f>
        <v>#DIV/0!</v>
      </c>
      <c r="G67" s="219">
        <f>SUMIF('JURNAL UMUM'!$H$8:$N$178,'BUKU PEMBANTU PERSEDIAAN'!D61,'JURNAL UMUM'!$K$8:$K$178)</f>
        <v>0.0</v>
      </c>
      <c r="H67" s="8">
        <f>SUMIF('JURNAL UMUM'!$H$8:$M$178,'BUKU PEMBANTU PERSEDIAAN'!D61,'JURNAL UMUM'!$L$8:$L$178)</f>
        <v>4.0</v>
      </c>
      <c r="I67" s="220">
        <f>J67/H67</f>
        <v>2850000.0</v>
      </c>
      <c r="J67" s="219">
        <f>SUMIF('JURNAL UMUM'!$H$8:$M$178,'BUKU PEMBANTU PERSEDIAAN'!D61,'JURNAL UMUM'!$N$8:$N$178)</f>
        <v>1.14E7</v>
      </c>
      <c r="K67" s="221">
        <f>K66+E67-H67</f>
        <v>4.0</v>
      </c>
      <c r="L67" s="219">
        <f>M67/K67</f>
        <v>2850000.0</v>
      </c>
      <c r="M67" s="222">
        <f>M66+G67-J67</f>
        <v>1.14E7</v>
      </c>
    </row>
    <row r="68" spans="8:8">
      <c r="B68" s="223"/>
      <c r="C68" s="224"/>
      <c r="D68" s="224"/>
      <c r="E68" s="224"/>
      <c r="F68" s="224"/>
      <c r="G68" s="224"/>
      <c r="H68" s="224"/>
      <c r="I68" s="224"/>
      <c r="J68" s="224"/>
      <c r="K68" s="225"/>
      <c r="L68" s="225"/>
      <c r="M68" s="226"/>
    </row>
    <row r="69" spans="8:8">
      <c r="B69" s="227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228"/>
    </row>
    <row r="72" spans="8:8">
      <c r="B72" s="200" t="s">
        <v>151</v>
      </c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88"/>
    </row>
    <row r="73" spans="8:8">
      <c r="B73" s="131" t="s">
        <v>156</v>
      </c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89"/>
    </row>
    <row r="74" spans="8:8">
      <c r="B74" s="163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89"/>
    </row>
    <row r="75" spans="8:8" ht="16.5">
      <c r="B75" s="131" t="s">
        <v>157</v>
      </c>
      <c r="C75" s="127"/>
      <c r="D75" s="201" t="s">
        <v>87</v>
      </c>
      <c r="E75" s="202"/>
      <c r="F75" s="127"/>
      <c r="G75" s="127"/>
      <c r="H75" s="127"/>
      <c r="I75" s="127"/>
      <c r="J75" s="127"/>
      <c r="K75" s="127"/>
      <c r="L75" s="127"/>
      <c r="M75" s="189"/>
    </row>
    <row r="76" spans="8:8">
      <c r="B76" s="131" t="s">
        <v>158</v>
      </c>
      <c r="C76" s="127"/>
      <c r="D76" s="127" t="str">
        <f>VLOOKUP(D75,'MASTER BUKU BANTU'!$A$5:$H$15,2,FALSE)</f>
        <v>EBIET D908</v>
      </c>
      <c r="E76" s="202"/>
      <c r="F76" s="127"/>
      <c r="G76" s="127"/>
      <c r="H76" s="127"/>
      <c r="I76" s="127"/>
      <c r="J76" s="127"/>
      <c r="K76" s="127"/>
      <c r="L76" s="127"/>
      <c r="M76" s="189"/>
    </row>
    <row r="77" spans="8:8">
      <c r="B77" s="163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89"/>
    </row>
    <row r="78" spans="8:8">
      <c r="B78" s="164" t="s">
        <v>159</v>
      </c>
      <c r="C78" s="165" t="s">
        <v>160</v>
      </c>
      <c r="D78" s="165" t="s">
        <v>108</v>
      </c>
      <c r="E78" s="165" t="s">
        <v>161</v>
      </c>
      <c r="F78" s="165"/>
      <c r="G78" s="165"/>
      <c r="H78" s="165" t="s">
        <v>162</v>
      </c>
      <c r="I78" s="165"/>
      <c r="J78" s="165"/>
      <c r="K78" s="165" t="s">
        <v>163</v>
      </c>
      <c r="L78" s="165"/>
      <c r="M78" s="206"/>
    </row>
    <row r="79" spans="8:8">
      <c r="B79" s="168"/>
      <c r="C79" s="169"/>
      <c r="D79" s="169"/>
      <c r="E79" s="207" t="s">
        <v>164</v>
      </c>
      <c r="F79" s="207" t="s">
        <v>165</v>
      </c>
      <c r="G79" s="207" t="s">
        <v>71</v>
      </c>
      <c r="H79" s="207" t="s">
        <v>164</v>
      </c>
      <c r="I79" s="207" t="s">
        <v>165</v>
      </c>
      <c r="J79" s="207" t="s">
        <v>71</v>
      </c>
      <c r="K79" s="207" t="s">
        <v>164</v>
      </c>
      <c r="L79" s="207" t="s">
        <v>165</v>
      </c>
      <c r="M79" s="208" t="s">
        <v>71</v>
      </c>
    </row>
    <row r="80" spans="8:8">
      <c r="B80" s="209"/>
      <c r="C80" s="210"/>
      <c r="D80" s="211" t="s">
        <v>147</v>
      </c>
      <c r="E80" s="211"/>
      <c r="F80" s="211"/>
      <c r="G80" s="211"/>
      <c r="H80" s="211"/>
      <c r="I80" s="211"/>
      <c r="J80" s="211"/>
      <c r="K80" s="212">
        <f>VLOOKUP(D75,'MASTER BUKU BANTU'!$A$5:$H$15,6,FALSE)</f>
        <v>12.0</v>
      </c>
      <c r="L80" s="213">
        <f>VLOOKUP(D75,'MASTER BUKU BANTU'!$A$5:$H$15,7,FALSE)</f>
        <v>590000.0</v>
      </c>
      <c r="M80" s="214">
        <f>K80*L80</f>
        <v>7080000.0</v>
      </c>
    </row>
    <row r="81" spans="8:8">
      <c r="B81" s="215"/>
      <c r="C81" s="216"/>
      <c r="D81" s="8" t="s">
        <v>166</v>
      </c>
      <c r="E81" s="217">
        <f>SUMIF('JURNAL UMUM'!$H$8:$M$178,'BUKU PEMBANTU PERSEDIAAN'!D75,'JURNAL UMUM'!$I$8:$I$178)</f>
        <v>0.0</v>
      </c>
      <c r="F81" s="218" t="e">
        <f>G81/E81</f>
        <v>#DIV/0!</v>
      </c>
      <c r="G81" s="219">
        <f>SUMIF('JURNAL UMUM'!$H$8:$N$178,'BUKU PEMBANTU PERSEDIAAN'!D75,'JURNAL UMUM'!$K$8:$K$178)</f>
        <v>0.0</v>
      </c>
      <c r="H81" s="8">
        <f>SUMIF('JURNAL UMUM'!$H$8:$M$178,'BUKU PEMBANTU PERSEDIAAN'!D75,'JURNAL UMUM'!$L$8:$L$178)</f>
        <v>6.0</v>
      </c>
      <c r="I81" s="220">
        <f>J81/H81</f>
        <v>590000.0</v>
      </c>
      <c r="J81" s="219">
        <f>SUMIF('JURNAL UMUM'!$H$8:$M$178,'BUKU PEMBANTU PERSEDIAAN'!D75,'JURNAL UMUM'!$N$8:$N$178)</f>
        <v>3540000.0</v>
      </c>
      <c r="K81" s="221">
        <f>K80+E81-H81</f>
        <v>6.0</v>
      </c>
      <c r="L81" s="219">
        <f>M81/K81</f>
        <v>590000.0</v>
      </c>
      <c r="M81" s="222">
        <f>M80+G81-J81</f>
        <v>3540000.0</v>
      </c>
    </row>
    <row r="82" spans="8:8">
      <c r="B82" s="223"/>
      <c r="C82" s="224"/>
      <c r="D82" s="224"/>
      <c r="E82" s="224"/>
      <c r="F82" s="224"/>
      <c r="G82" s="224"/>
      <c r="H82" s="224"/>
      <c r="I82" s="224"/>
      <c r="J82" s="224"/>
      <c r="K82" s="225"/>
      <c r="L82" s="225"/>
      <c r="M82" s="226"/>
    </row>
    <row r="83" spans="8:8">
      <c r="B83" s="227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228"/>
    </row>
    <row r="86" spans="8:8">
      <c r="B86" s="200" t="s">
        <v>151</v>
      </c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88"/>
    </row>
    <row r="87" spans="8:8">
      <c r="B87" s="131" t="s">
        <v>156</v>
      </c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89"/>
    </row>
    <row r="88" spans="8:8">
      <c r="B88" s="163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89"/>
    </row>
    <row r="89" spans="8:8" ht="16.5">
      <c r="B89" s="131" t="s">
        <v>157</v>
      </c>
      <c r="C89" s="127"/>
      <c r="D89" s="201" t="s">
        <v>89</v>
      </c>
      <c r="E89" s="202"/>
      <c r="F89" s="127"/>
      <c r="G89" s="127"/>
      <c r="H89" s="127"/>
      <c r="I89" s="127"/>
      <c r="J89" s="127"/>
      <c r="K89" s="127"/>
      <c r="L89" s="127"/>
      <c r="M89" s="189"/>
    </row>
    <row r="90" spans="8:8">
      <c r="B90" s="131" t="s">
        <v>158</v>
      </c>
      <c r="C90" s="127"/>
      <c r="D90" s="127" t="str">
        <f>VLOOKUP(D89,'MASTER BUKU BANTU'!$A$5:$H$15,2,FALSE)</f>
        <v>TAMERLAND L1</v>
      </c>
      <c r="E90" s="202"/>
      <c r="F90" s="127"/>
      <c r="G90" s="127"/>
      <c r="H90" s="127"/>
      <c r="I90" s="127"/>
      <c r="J90" s="127"/>
      <c r="K90" s="127"/>
      <c r="L90" s="127"/>
      <c r="M90" s="189"/>
    </row>
    <row r="91" spans="8:8">
      <c r="B91" s="163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89"/>
    </row>
    <row r="92" spans="8:8">
      <c r="B92" s="164" t="s">
        <v>159</v>
      </c>
      <c r="C92" s="165" t="s">
        <v>160</v>
      </c>
      <c r="D92" s="165" t="s">
        <v>108</v>
      </c>
      <c r="E92" s="165" t="s">
        <v>161</v>
      </c>
      <c r="F92" s="165"/>
      <c r="G92" s="165"/>
      <c r="H92" s="165" t="s">
        <v>162</v>
      </c>
      <c r="I92" s="165"/>
      <c r="J92" s="165"/>
      <c r="K92" s="165" t="s">
        <v>163</v>
      </c>
      <c r="L92" s="165"/>
      <c r="M92" s="206"/>
    </row>
    <row r="93" spans="8:8">
      <c r="B93" s="168"/>
      <c r="C93" s="169"/>
      <c r="D93" s="169"/>
      <c r="E93" s="207" t="s">
        <v>164</v>
      </c>
      <c r="F93" s="207" t="s">
        <v>165</v>
      </c>
      <c r="G93" s="207" t="s">
        <v>71</v>
      </c>
      <c r="H93" s="207" t="s">
        <v>164</v>
      </c>
      <c r="I93" s="207" t="s">
        <v>165</v>
      </c>
      <c r="J93" s="207" t="s">
        <v>71</v>
      </c>
      <c r="K93" s="207" t="s">
        <v>164</v>
      </c>
      <c r="L93" s="207" t="s">
        <v>165</v>
      </c>
      <c r="M93" s="208" t="s">
        <v>71</v>
      </c>
    </row>
    <row r="94" spans="8:8">
      <c r="B94" s="209"/>
      <c r="C94" s="210"/>
      <c r="D94" s="211" t="s">
        <v>147</v>
      </c>
      <c r="E94" s="211"/>
      <c r="F94" s="211"/>
      <c r="G94" s="211"/>
      <c r="H94" s="211"/>
      <c r="I94" s="211"/>
      <c r="J94" s="211"/>
      <c r="K94" s="212">
        <f>VLOOKUP(D89,'MASTER BUKU BANTU'!$A$5:$H$15,6,FALSE)</f>
        <v>15.0</v>
      </c>
      <c r="L94" s="213">
        <f>VLOOKUP(D89,'MASTER BUKU BANTU'!$A$5:$H$15,7,FALSE)</f>
        <v>1300000.0</v>
      </c>
      <c r="M94" s="214">
        <f>K94*L94</f>
        <v>1.95E7</v>
      </c>
    </row>
    <row r="95" spans="8:8">
      <c r="B95" s="215"/>
      <c r="C95" s="216"/>
      <c r="D95" s="8" t="s">
        <v>166</v>
      </c>
      <c r="E95" s="217">
        <f>SUMIF('JURNAL UMUM'!$H$8:$M$178,'BUKU PEMBANTU PERSEDIAAN'!D89,'JURNAL UMUM'!$I$8:$I$178)</f>
        <v>0.0</v>
      </c>
      <c r="F95" s="218" t="e">
        <f>G95/E95</f>
        <v>#DIV/0!</v>
      </c>
      <c r="G95" s="219">
        <f>SUMIF('JURNAL UMUM'!$H$8:$N$178,'BUKU PEMBANTU PERSEDIAAN'!D89,'JURNAL UMUM'!$K$8:$K$178)</f>
        <v>0.0</v>
      </c>
      <c r="H95" s="8">
        <f>SUMIF('JURNAL UMUM'!$H$8:$M$178,'BUKU PEMBANTU PERSEDIAAN'!D89,'JURNAL UMUM'!$L$8:$L$178)</f>
        <v>12.0</v>
      </c>
      <c r="I95" s="220">
        <f>J95/H95</f>
        <v>1300000.0</v>
      </c>
      <c r="J95" s="219">
        <f>SUMIF('JURNAL UMUM'!$H$8:$M$178,'BUKU PEMBANTU PERSEDIAAN'!D89,'JURNAL UMUM'!$N$8:$N$178)</f>
        <v>1.56E7</v>
      </c>
      <c r="K95" s="221">
        <f>K94+E95-H95</f>
        <v>3.0</v>
      </c>
      <c r="L95" s="219">
        <f>M95/K95</f>
        <v>1300000.0</v>
      </c>
      <c r="M95" s="222">
        <f>M94+G95-J95</f>
        <v>3900000.0</v>
      </c>
    </row>
    <row r="96" spans="8:8">
      <c r="B96" s="223"/>
      <c r="C96" s="224"/>
      <c r="D96" s="224"/>
      <c r="E96" s="224"/>
      <c r="F96" s="224"/>
      <c r="G96" s="224"/>
      <c r="H96" s="224"/>
      <c r="I96" s="224"/>
      <c r="J96" s="224"/>
      <c r="K96" s="225"/>
      <c r="L96" s="225"/>
      <c r="M96" s="226"/>
    </row>
    <row r="97" spans="8:8">
      <c r="B97" s="227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228"/>
    </row>
    <row r="100" spans="8:8">
      <c r="B100" s="200" t="s">
        <v>151</v>
      </c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88"/>
    </row>
    <row r="101" spans="8:8">
      <c r="B101" s="131" t="s">
        <v>156</v>
      </c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89"/>
    </row>
    <row r="102" spans="8:8">
      <c r="B102" s="163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89"/>
    </row>
    <row r="103" spans="8:8" ht="16.5">
      <c r="B103" s="131" t="s">
        <v>157</v>
      </c>
      <c r="C103" s="127"/>
      <c r="D103" s="201" t="s">
        <v>91</v>
      </c>
      <c r="E103" s="202"/>
      <c r="F103" s="127"/>
      <c r="G103" s="127"/>
      <c r="H103" s="127"/>
      <c r="I103" s="127"/>
      <c r="J103" s="127"/>
      <c r="K103" s="127"/>
      <c r="L103" s="127"/>
      <c r="M103" s="189"/>
    </row>
    <row r="104" spans="8:8">
      <c r="B104" s="131" t="s">
        <v>158</v>
      </c>
      <c r="C104" s="127"/>
      <c r="D104" s="127" t="str">
        <f>VLOOKUP(D103,'MASTER BUKU BANTU'!$A$5:$H$15,2,FALSE)</f>
        <v>TAMERLAND L2</v>
      </c>
      <c r="E104" s="202"/>
      <c r="F104" s="127"/>
      <c r="G104" s="127"/>
      <c r="H104" s="127"/>
      <c r="I104" s="127"/>
      <c r="J104" s="127"/>
      <c r="K104" s="127"/>
      <c r="L104" s="127"/>
      <c r="M104" s="189"/>
    </row>
    <row r="105" spans="8:8">
      <c r="B105" s="163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89"/>
    </row>
    <row r="106" spans="8:8">
      <c r="B106" s="164" t="s">
        <v>159</v>
      </c>
      <c r="C106" s="165" t="s">
        <v>160</v>
      </c>
      <c r="D106" s="165" t="s">
        <v>108</v>
      </c>
      <c r="E106" s="165" t="s">
        <v>161</v>
      </c>
      <c r="F106" s="165"/>
      <c r="G106" s="165"/>
      <c r="H106" s="165" t="s">
        <v>162</v>
      </c>
      <c r="I106" s="165"/>
      <c r="J106" s="165"/>
      <c r="K106" s="165" t="s">
        <v>163</v>
      </c>
      <c r="L106" s="165"/>
      <c r="M106" s="206"/>
    </row>
    <row r="107" spans="8:8">
      <c r="B107" s="168"/>
      <c r="C107" s="169"/>
      <c r="D107" s="169"/>
      <c r="E107" s="207" t="s">
        <v>164</v>
      </c>
      <c r="F107" s="207" t="s">
        <v>165</v>
      </c>
      <c r="G107" s="207" t="s">
        <v>71</v>
      </c>
      <c r="H107" s="207" t="s">
        <v>164</v>
      </c>
      <c r="I107" s="207" t="s">
        <v>165</v>
      </c>
      <c r="J107" s="207" t="s">
        <v>71</v>
      </c>
      <c r="K107" s="207" t="s">
        <v>164</v>
      </c>
      <c r="L107" s="207" t="s">
        <v>165</v>
      </c>
      <c r="M107" s="208" t="s">
        <v>71</v>
      </c>
    </row>
    <row r="108" spans="8:8">
      <c r="B108" s="209"/>
      <c r="C108" s="210"/>
      <c r="D108" s="211" t="s">
        <v>147</v>
      </c>
      <c r="E108" s="211"/>
      <c r="F108" s="211"/>
      <c r="G108" s="211"/>
      <c r="H108" s="211"/>
      <c r="I108" s="211"/>
      <c r="J108" s="211"/>
      <c r="K108" s="212">
        <f>VLOOKUP(D103,'MASTER BUKU BANTU'!$A$5:$H$15,6,FALSE)</f>
        <v>12.0</v>
      </c>
      <c r="L108" s="213">
        <f>VLOOKUP(D103,'MASTER BUKU BANTU'!$A$5:$H$15,7,FALSE)</f>
        <v>1750000.0</v>
      </c>
      <c r="M108" s="214">
        <f>K108*L108</f>
        <v>2.1E7</v>
      </c>
    </row>
    <row r="109" spans="8:8">
      <c r="B109" s="215"/>
      <c r="C109" s="216"/>
      <c r="D109" s="8" t="s">
        <v>166</v>
      </c>
      <c r="E109" s="217">
        <f>SUMIF('JURNAL UMUM'!$H$8:$M$178,'BUKU PEMBANTU PERSEDIAAN'!D103,'JURNAL UMUM'!$I$8:$I$178)</f>
        <v>0.0</v>
      </c>
      <c r="F109" s="218" t="e">
        <f>G109/E109</f>
        <v>#DIV/0!</v>
      </c>
      <c r="G109" s="219">
        <f>SUMIF('JURNAL UMUM'!$H$8:$N$178,'BUKU PEMBANTU PERSEDIAAN'!D103,'JURNAL UMUM'!$K$8:$K$178)</f>
        <v>0.0</v>
      </c>
      <c r="H109" s="8">
        <f>SUMIF('JURNAL UMUM'!$H$8:$M$178,'BUKU PEMBANTU PERSEDIAAN'!D103,'JURNAL UMUM'!$L$8:$L$178)</f>
        <v>11.0</v>
      </c>
      <c r="I109" s="220">
        <f>J109/H109</f>
        <v>1750000.0</v>
      </c>
      <c r="J109" s="219">
        <f>SUMIF('JURNAL UMUM'!$H$8:$M$178,'BUKU PEMBANTU PERSEDIAAN'!D103,'JURNAL UMUM'!$N$8:$N$178)</f>
        <v>1.925E7</v>
      </c>
      <c r="K109" s="221">
        <f>K108+E109-H109</f>
        <v>1.0</v>
      </c>
      <c r="L109" s="219">
        <f>M109/K109</f>
        <v>1750000.0</v>
      </c>
      <c r="M109" s="222">
        <f>M108+G109-J109</f>
        <v>1750000.0</v>
      </c>
    </row>
    <row r="110" spans="8:8">
      <c r="B110" s="223"/>
      <c r="C110" s="224"/>
      <c r="D110" s="224"/>
      <c r="E110" s="224"/>
      <c r="F110" s="224"/>
      <c r="G110" s="224"/>
      <c r="H110" s="224"/>
      <c r="I110" s="224"/>
      <c r="J110" s="224"/>
      <c r="K110" s="225"/>
      <c r="L110" s="225"/>
      <c r="M110" s="226"/>
    </row>
    <row r="111" spans="8:8">
      <c r="B111" s="227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228"/>
    </row>
    <row r="114" spans="8:8">
      <c r="B114" s="200" t="s">
        <v>151</v>
      </c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88"/>
    </row>
    <row r="115" spans="8:8">
      <c r="B115" s="131" t="s">
        <v>156</v>
      </c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89"/>
    </row>
    <row r="116" spans="8:8">
      <c r="B116" s="163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89"/>
    </row>
    <row r="117" spans="8:8" ht="16.5">
      <c r="B117" s="131" t="s">
        <v>157</v>
      </c>
      <c r="C117" s="127"/>
      <c r="D117" s="201" t="s">
        <v>93</v>
      </c>
      <c r="E117" s="202"/>
      <c r="F117" s="127"/>
      <c r="G117" s="127"/>
      <c r="H117" s="127"/>
      <c r="I117" s="127"/>
      <c r="J117" s="127"/>
      <c r="K117" s="127"/>
      <c r="L117" s="127"/>
      <c r="M117" s="189"/>
    </row>
    <row r="118" spans="8:8">
      <c r="B118" s="131" t="s">
        <v>158</v>
      </c>
      <c r="C118" s="127"/>
      <c r="D118" s="127" t="str">
        <f>VLOOKUP(D117,'MASTER BUKU BANTU'!$A$5:$H$15,2,FALSE)</f>
        <v>TAMERLAND L3</v>
      </c>
      <c r="E118" s="202"/>
      <c r="F118" s="127"/>
      <c r="G118" s="127"/>
      <c r="H118" s="127"/>
      <c r="I118" s="127"/>
      <c r="J118" s="127"/>
      <c r="K118" s="127"/>
      <c r="L118" s="127"/>
      <c r="M118" s="189"/>
    </row>
    <row r="119" spans="8:8">
      <c r="B119" s="163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89"/>
    </row>
    <row r="120" spans="8:8">
      <c r="B120" s="164" t="s">
        <v>159</v>
      </c>
      <c r="C120" s="165" t="s">
        <v>160</v>
      </c>
      <c r="D120" s="165" t="s">
        <v>108</v>
      </c>
      <c r="E120" s="165" t="s">
        <v>161</v>
      </c>
      <c r="F120" s="165"/>
      <c r="G120" s="165"/>
      <c r="H120" s="165" t="s">
        <v>162</v>
      </c>
      <c r="I120" s="165"/>
      <c r="J120" s="165"/>
      <c r="K120" s="165" t="s">
        <v>163</v>
      </c>
      <c r="L120" s="165"/>
      <c r="M120" s="206"/>
    </row>
    <row r="121" spans="8:8">
      <c r="B121" s="168"/>
      <c r="C121" s="169"/>
      <c r="D121" s="169"/>
      <c r="E121" s="207" t="s">
        <v>164</v>
      </c>
      <c r="F121" s="207" t="s">
        <v>165</v>
      </c>
      <c r="G121" s="207" t="s">
        <v>71</v>
      </c>
      <c r="H121" s="207" t="s">
        <v>164</v>
      </c>
      <c r="I121" s="207" t="s">
        <v>165</v>
      </c>
      <c r="J121" s="207" t="s">
        <v>71</v>
      </c>
      <c r="K121" s="207" t="s">
        <v>164</v>
      </c>
      <c r="L121" s="207" t="s">
        <v>165</v>
      </c>
      <c r="M121" s="208" t="s">
        <v>71</v>
      </c>
    </row>
    <row r="122" spans="8:8">
      <c r="B122" s="209"/>
      <c r="C122" s="210"/>
      <c r="D122" s="211" t="s">
        <v>147</v>
      </c>
      <c r="E122" s="211"/>
      <c r="F122" s="211"/>
      <c r="G122" s="211"/>
      <c r="H122" s="211"/>
      <c r="I122" s="211"/>
      <c r="J122" s="211"/>
      <c r="K122" s="212">
        <f>VLOOKUP(D117,'MASTER BUKU BANTU'!$A$5:$H$15,6,FALSE)</f>
        <v>15.0</v>
      </c>
      <c r="L122" s="213">
        <f>VLOOKUP(D117,'MASTER BUKU BANTU'!$A$5:$H$15,7,FALSE)</f>
        <v>1050000.0</v>
      </c>
      <c r="M122" s="214">
        <f>K122*L122</f>
        <v>1.575E7</v>
      </c>
    </row>
    <row r="123" spans="8:8">
      <c r="B123" s="215"/>
      <c r="C123" s="216"/>
      <c r="D123" s="8" t="s">
        <v>166</v>
      </c>
      <c r="E123" s="217">
        <f>SUMIF('JURNAL UMUM'!$H$8:$M$178,'BUKU PEMBANTU PERSEDIAAN'!D117,'JURNAL UMUM'!$I$8:$I$178)</f>
        <v>0.0</v>
      </c>
      <c r="F123" s="218" t="e">
        <f>G123/E123</f>
        <v>#DIV/0!</v>
      </c>
      <c r="G123" s="219">
        <f>SUMIF('JURNAL UMUM'!$H$8:$N$178,'BUKU PEMBANTU PERSEDIAAN'!D117,'JURNAL UMUM'!$K$8:$K$178)</f>
        <v>0.0</v>
      </c>
      <c r="H123" s="8">
        <f>SUMIF('JURNAL UMUM'!$H$8:$M$178,'BUKU PEMBANTU PERSEDIAAN'!D117,'JURNAL UMUM'!$L$8:$L$178)</f>
        <v>7.0</v>
      </c>
      <c r="I123" s="220">
        <f>J123/H123</f>
        <v>1050000.0</v>
      </c>
      <c r="J123" s="219">
        <f>SUMIF('JURNAL UMUM'!$H$8:$M$178,'BUKU PEMBANTU PERSEDIAAN'!D117,'JURNAL UMUM'!$N$8:$N$178)</f>
        <v>7350000.0</v>
      </c>
      <c r="K123" s="221">
        <f>K122+E123-H123</f>
        <v>8.0</v>
      </c>
      <c r="L123" s="219">
        <f>M123/K123</f>
        <v>1050000.0</v>
      </c>
      <c r="M123" s="222">
        <f>M122+G123-J123</f>
        <v>8400000.0</v>
      </c>
    </row>
    <row r="124" spans="8:8">
      <c r="B124" s="223"/>
      <c r="C124" s="224"/>
      <c r="D124" s="224"/>
      <c r="E124" s="224"/>
      <c r="F124" s="224"/>
      <c r="G124" s="224"/>
      <c r="H124" s="224"/>
      <c r="I124" s="224"/>
      <c r="J124" s="224"/>
      <c r="K124" s="225"/>
      <c r="L124" s="225"/>
      <c r="M124" s="226"/>
    </row>
    <row r="125" spans="8:8">
      <c r="B125" s="227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228"/>
    </row>
    <row r="129" spans="8:8">
      <c r="C129"/>
    </row>
    <row r="130" spans="8:8">
      <c r="C130"/>
    </row>
  </sheetData>
  <mergeCells count="54">
    <mergeCell ref="H92:J92"/>
    <mergeCell ref="K22:M22"/>
    <mergeCell ref="K36:M36"/>
    <mergeCell ref="H64:J64"/>
    <mergeCell ref="H50:J50"/>
    <mergeCell ref="K92:M92"/>
    <mergeCell ref="B92:B93"/>
    <mergeCell ref="D22:D23"/>
    <mergeCell ref="C8:C9"/>
    <mergeCell ref="B120:B121"/>
    <mergeCell ref="D120:D121"/>
    <mergeCell ref="C120:C121"/>
    <mergeCell ref="D36:D37"/>
    <mergeCell ref="B78:B79"/>
    <mergeCell ref="D64:D65"/>
    <mergeCell ref="E78:G78"/>
    <mergeCell ref="E92:G92"/>
    <mergeCell ref="C22:C23"/>
    <mergeCell ref="B36:B37"/>
    <mergeCell ref="D8:D9"/>
    <mergeCell ref="C106:C107"/>
    <mergeCell ref="B64:B65"/>
    <mergeCell ref="H8:J8"/>
    <mergeCell ref="K78:M78"/>
    <mergeCell ref="K64:M64"/>
    <mergeCell ref="K50:M50"/>
    <mergeCell ref="H36:J36"/>
    <mergeCell ref="H78:J78"/>
    <mergeCell ref="H120:J120"/>
    <mergeCell ref="K106:M106"/>
    <mergeCell ref="E64:G64"/>
    <mergeCell ref="C92:C93"/>
    <mergeCell ref="B50:B51"/>
    <mergeCell ref="C36:C37"/>
    <mergeCell ref="E120:G120"/>
    <mergeCell ref="E36:G36"/>
    <mergeCell ref="C78:C79"/>
    <mergeCell ref="B22:B23"/>
    <mergeCell ref="E22:G22"/>
    <mergeCell ref="E8:G8"/>
    <mergeCell ref="B8:B9"/>
    <mergeCell ref="E50:G50"/>
    <mergeCell ref="D92:D93"/>
    <mergeCell ref="K120:M120"/>
    <mergeCell ref="H22:J22"/>
    <mergeCell ref="K8:M8"/>
    <mergeCell ref="B106:B107"/>
    <mergeCell ref="D50:D51"/>
    <mergeCell ref="D106:D107"/>
    <mergeCell ref="C64:C65"/>
    <mergeCell ref="C50:C51"/>
    <mergeCell ref="D78:D79"/>
    <mergeCell ref="E106:G106"/>
    <mergeCell ref="H106:J106"/>
  </mergeCells>
  <pageMargins left="0.7" right="0.7" top="0.75" bottom="0.75" header="0.3" footer="0.3"/>
</worksheet>
</file>

<file path=xl/worksheets/sheet7.xml><?xml version="1.0" encoding="utf-8"?>
<worksheet xmlns:r="http://schemas.openxmlformats.org/officeDocument/2006/relationships" xmlns="http://schemas.openxmlformats.org/spreadsheetml/2006/main">
  <dimension ref="B1:J580"/>
  <sheetViews>
    <sheetView workbookViewId="0" topLeftCell="A557" zoomScale="70">
      <selection activeCell="B573" sqref="B573:I575"/>
    </sheetView>
  </sheetViews>
  <sheetFormatPr defaultRowHeight="15.0" defaultColWidth="10"/>
  <cols>
    <col min="2" max="2" customWidth="1" width="15.140625" style="0"/>
    <col min="3" max="3" customWidth="1" width="14.425781" style="0"/>
    <col min="4" max="4" customWidth="1" width="18.855469" style="0"/>
    <col min="6" max="6" customWidth="1" width="17.140625" style="0"/>
    <col min="7" max="7" customWidth="1" width="19.285156" style="0"/>
    <col min="8" max="8" customWidth="1" width="17.140625" style="0"/>
    <col min="9" max="9" customWidth="1" width="16.425781" style="0"/>
  </cols>
  <sheetData>
    <row r="2" spans="8:8">
      <c r="B2" s="1" t="s">
        <v>69</v>
      </c>
      <c r="C2" s="1"/>
      <c r="D2" s="1"/>
      <c r="E2" s="1"/>
      <c r="F2" s="1"/>
      <c r="G2" s="1"/>
      <c r="H2" s="1"/>
      <c r="I2" s="1"/>
    </row>
    <row r="3" spans="8:8">
      <c r="B3" s="1" t="s">
        <v>170</v>
      </c>
      <c r="C3" s="1"/>
      <c r="D3" s="1"/>
      <c r="E3" s="1"/>
      <c r="F3" s="1"/>
      <c r="G3" s="1"/>
      <c r="H3" s="1"/>
      <c r="I3" s="1"/>
    </row>
    <row r="5" spans="8:8">
      <c r="B5" s="229" t="s">
        <v>167</v>
      </c>
      <c r="C5" s="128"/>
      <c r="D5" s="230">
        <v>11100.0</v>
      </c>
      <c r="E5" s="128"/>
      <c r="F5" s="128"/>
      <c r="G5" s="128"/>
      <c r="H5" s="128"/>
      <c r="I5" s="188"/>
    </row>
    <row r="6" spans="8:8">
      <c r="B6" s="131" t="s">
        <v>168</v>
      </c>
      <c r="C6" s="127"/>
      <c r="D6" s="132" t="str">
        <f>VLOOKUP(D5,'Master Account'!$A$6:$E$69,2,FALSE)</f>
        <v>KAS</v>
      </c>
      <c r="E6" s="127"/>
      <c r="F6" s="132"/>
      <c r="G6" s="231"/>
      <c r="H6" s="232"/>
      <c r="I6" s="233"/>
    </row>
    <row r="7" spans="8:8">
      <c r="B7" s="163"/>
      <c r="C7" s="127"/>
      <c r="D7" s="127"/>
      <c r="E7" s="127"/>
      <c r="F7" s="127"/>
      <c r="G7" s="232"/>
      <c r="H7" s="232"/>
      <c r="I7" s="233"/>
    </row>
    <row r="8" spans="8:8">
      <c r="B8" s="234" t="s">
        <v>132</v>
      </c>
      <c r="C8" s="235" t="s">
        <v>133</v>
      </c>
      <c r="D8" s="235" t="s">
        <v>146</v>
      </c>
      <c r="E8" s="235" t="s">
        <v>135</v>
      </c>
      <c r="F8" s="235" t="s">
        <v>136</v>
      </c>
      <c r="G8" s="236" t="s">
        <v>137</v>
      </c>
      <c r="H8" s="237" t="s">
        <v>141</v>
      </c>
      <c r="I8" s="238"/>
    </row>
    <row r="9" spans="8:8">
      <c r="B9" s="239"/>
      <c r="C9" s="240"/>
      <c r="D9" s="240"/>
      <c r="E9" s="240"/>
      <c r="F9" s="240"/>
      <c r="G9" s="241"/>
      <c r="H9" s="242" t="s">
        <v>136</v>
      </c>
      <c r="I9" s="243" t="s">
        <v>137</v>
      </c>
    </row>
    <row r="10" spans="8:8">
      <c r="B10" s="244"/>
      <c r="C10" s="245"/>
      <c r="D10" s="245" t="s">
        <v>147</v>
      </c>
      <c r="E10" s="246"/>
      <c r="F10" s="246"/>
      <c r="G10" s="247"/>
      <c r="H10" s="248">
        <f>VLOOKUP(D5,'Master Account'!$A$6:$E$69,4,FALSE)</f>
        <v>0.0</v>
      </c>
      <c r="I10" s="249">
        <f>VLOOKUP(D5,'Master Account'!$A$6:$E$69,5,FALSE)</f>
        <v>0.0</v>
      </c>
    </row>
    <row r="11" spans="8:8">
      <c r="B11" s="250"/>
      <c r="C11" s="251"/>
      <c r="D11" s="251" t="s">
        <v>169</v>
      </c>
      <c r="E11" s="252"/>
      <c r="F11" s="253">
        <f>SUMIF('JURNAL UMUM'!$A$8:$G$178,'BUKU BESAR'!D5,'JURNAL UMUM'!$F$8:$F$178)</f>
        <v>0.0</v>
      </c>
      <c r="G11" s="253">
        <f>SUMIF('JURNAL UMUM'!$A$8:$G$178,'BUKU BESAR'!D5,'JURNAL UMUM'!$G$8:$G$178)</f>
        <v>0.0</v>
      </c>
      <c r="H11" s="253">
        <f>IF(H10+F11&gt;I10+G11,((H10+F11)-(I10+G11)),0)</f>
        <v>0.0</v>
      </c>
      <c r="I11" s="254">
        <f>IF(I10+G11&gt;H10+F11,((I10+G11)-(H10+F11)),0)</f>
        <v>0.0</v>
      </c>
    </row>
    <row r="12" spans="8:8">
      <c r="B12" s="255"/>
      <c r="C12" s="256"/>
      <c r="D12" s="256"/>
      <c r="E12" s="256"/>
      <c r="F12" s="257"/>
      <c r="G12" s="258"/>
      <c r="H12" s="258"/>
      <c r="I12" s="259"/>
    </row>
    <row r="14" spans="8:8">
      <c r="B14" s="229" t="s">
        <v>167</v>
      </c>
      <c r="C14" s="128"/>
      <c r="D14" s="230">
        <v>11101.0</v>
      </c>
      <c r="E14" s="128"/>
      <c r="F14" s="128"/>
      <c r="G14" s="128"/>
      <c r="H14" s="128"/>
      <c r="I14" s="188"/>
    </row>
    <row r="15" spans="8:8">
      <c r="B15" s="131" t="s">
        <v>168</v>
      </c>
      <c r="C15" s="127"/>
      <c r="D15" s="132" t="str">
        <f>VLOOKUP(D14,'Master Account'!$A$6:$E$69,2,FALSE)</f>
        <v>Kas Di Tangan</v>
      </c>
      <c r="E15" s="127"/>
      <c r="F15" s="132"/>
      <c r="G15" s="231"/>
      <c r="H15" s="232"/>
      <c r="I15" s="233"/>
    </row>
    <row r="16" spans="8:8">
      <c r="B16" s="163"/>
      <c r="C16" s="127"/>
      <c r="D16" s="127"/>
      <c r="E16" s="127"/>
      <c r="F16" s="127"/>
      <c r="G16" s="232"/>
      <c r="H16" s="232"/>
      <c r="I16" s="233"/>
    </row>
    <row r="17" spans="8:8">
      <c r="B17" s="234" t="s">
        <v>132</v>
      </c>
      <c r="C17" s="235" t="s">
        <v>133</v>
      </c>
      <c r="D17" s="235" t="s">
        <v>146</v>
      </c>
      <c r="E17" s="235" t="s">
        <v>135</v>
      </c>
      <c r="F17" s="235" t="s">
        <v>136</v>
      </c>
      <c r="G17" s="236" t="s">
        <v>137</v>
      </c>
      <c r="H17" s="237" t="s">
        <v>141</v>
      </c>
      <c r="I17" s="238"/>
    </row>
    <row r="18" spans="8:8">
      <c r="B18" s="239"/>
      <c r="C18" s="240"/>
      <c r="D18" s="240"/>
      <c r="E18" s="240"/>
      <c r="F18" s="240"/>
      <c r="G18" s="241"/>
      <c r="H18" s="242" t="s">
        <v>136</v>
      </c>
      <c r="I18" s="243" t="s">
        <v>137</v>
      </c>
    </row>
    <row r="19" spans="8:8">
      <c r="B19" s="244"/>
      <c r="C19" s="245"/>
      <c r="D19" s="245" t="s">
        <v>147</v>
      </c>
      <c r="E19" s="246"/>
      <c r="F19" s="246"/>
      <c r="G19" s="247"/>
      <c r="H19" s="248">
        <f>VLOOKUP(D14,'Master Account'!$A$6:$E$69,4,FALSE)</f>
        <v>2500000.0</v>
      </c>
      <c r="I19" s="249">
        <f>VLOOKUP(D14,'Master Account'!$A$6:$E$69,5,FALSE)</f>
        <v>0.0</v>
      </c>
    </row>
    <row r="20" spans="8:8">
      <c r="B20" s="250"/>
      <c r="C20" s="251"/>
      <c r="D20" s="251" t="s">
        <v>169</v>
      </c>
      <c r="E20" s="252"/>
      <c r="F20" s="253">
        <f>SUMIF('JURNAL UMUM'!$A$8:$G$178,'BUKU BESAR'!D14,'JURNAL UMUM'!$F$8:$F$178)</f>
        <v>6.068575E7</v>
      </c>
      <c r="G20" s="253">
        <f>SUMIF('JURNAL UMUM'!$A$8:$G$178,'BUKU BESAR'!D14,'JURNAL UMUM'!$G$8:$G$178)</f>
        <v>412500.0</v>
      </c>
      <c r="H20" s="253">
        <f>IF(H19+F20&gt;I19+G20,((H19+F20)-(I19+G20)),0)</f>
        <v>6.277325E7</v>
      </c>
      <c r="I20" s="254">
        <f>IF(I19+G20&gt;H19+F20,((I19+G20)-(H19+F20)),0)</f>
        <v>0.0</v>
      </c>
    </row>
    <row r="21" spans="8:8">
      <c r="B21" s="255"/>
      <c r="C21" s="256"/>
      <c r="D21" s="256"/>
      <c r="E21" s="256"/>
      <c r="F21" s="257"/>
      <c r="G21" s="258"/>
      <c r="H21" s="258"/>
      <c r="I21" s="259"/>
    </row>
    <row r="23" spans="8:8">
      <c r="B23" s="229" t="s">
        <v>167</v>
      </c>
      <c r="C23" s="128"/>
      <c r="D23" s="230">
        <v>11102.0</v>
      </c>
      <c r="E23" s="128"/>
      <c r="F23" s="128"/>
      <c r="G23" s="128"/>
      <c r="H23" s="128"/>
      <c r="I23" s="188"/>
    </row>
    <row r="24" spans="8:8">
      <c r="B24" s="131" t="s">
        <v>168</v>
      </c>
      <c r="C24" s="127"/>
      <c r="D24" s="132" t="str">
        <f>VLOOKUP(D23,'Master Account'!$A$6:$E$69,2,FALSE)</f>
        <v>Kas Kecil</v>
      </c>
      <c r="E24" s="127"/>
      <c r="F24" s="132"/>
      <c r="G24" s="231"/>
      <c r="H24" s="232"/>
      <c r="I24" s="233"/>
    </row>
    <row r="25" spans="8:8">
      <c r="B25" s="163"/>
      <c r="C25" s="127"/>
      <c r="D25" s="127"/>
      <c r="E25" s="127"/>
      <c r="F25" s="127"/>
      <c r="G25" s="232"/>
      <c r="H25" s="232"/>
      <c r="I25" s="233"/>
    </row>
    <row r="26" spans="8:8">
      <c r="B26" s="234" t="s">
        <v>132</v>
      </c>
      <c r="C26" s="235" t="s">
        <v>133</v>
      </c>
      <c r="D26" s="235" t="s">
        <v>146</v>
      </c>
      <c r="E26" s="235" t="s">
        <v>135</v>
      </c>
      <c r="F26" s="235" t="s">
        <v>136</v>
      </c>
      <c r="G26" s="236" t="s">
        <v>137</v>
      </c>
      <c r="H26" s="237" t="s">
        <v>141</v>
      </c>
      <c r="I26" s="238"/>
    </row>
    <row r="27" spans="8:8">
      <c r="B27" s="239"/>
      <c r="C27" s="240"/>
      <c r="D27" s="240"/>
      <c r="E27" s="240"/>
      <c r="F27" s="240"/>
      <c r="G27" s="241"/>
      <c r="H27" s="242" t="s">
        <v>136</v>
      </c>
      <c r="I27" s="243" t="s">
        <v>137</v>
      </c>
    </row>
    <row r="28" spans="8:8">
      <c r="B28" s="244"/>
      <c r="C28" s="245"/>
      <c r="D28" s="245" t="s">
        <v>147</v>
      </c>
      <c r="E28" s="246"/>
      <c r="F28" s="246"/>
      <c r="G28" s="247"/>
      <c r="H28" s="248">
        <f>VLOOKUP(D23,'Master Account'!$A$6:$E$69,4,FALSE)</f>
        <v>750000.0</v>
      </c>
      <c r="I28" s="249">
        <f>VLOOKUP(D23,'Master Account'!$A$6:$E$69,5,FALSE)</f>
        <v>0.0</v>
      </c>
    </row>
    <row r="29" spans="8:8">
      <c r="B29" s="250"/>
      <c r="C29" s="251"/>
      <c r="D29" s="251" t="s">
        <v>169</v>
      </c>
      <c r="E29" s="252"/>
      <c r="F29" s="253">
        <f>SUMIF('JURNAL UMUM'!$A$8:$G$178,'BUKU BESAR'!D23,'JURNAL UMUM'!$F$8:$F$178)</f>
        <v>0.0</v>
      </c>
      <c r="G29" s="253">
        <f>SUMIF('JURNAL UMUM'!$A$8:$G$178,'BUKU BESAR'!D23,'JURNAL UMUM'!$G$8:$G$178)</f>
        <v>0.0</v>
      </c>
      <c r="H29" s="253">
        <f>IF(H28+F29&gt;I28+G29,((H28+F29)-(I28+G29)),0)</f>
        <v>750000.0</v>
      </c>
      <c r="I29" s="254">
        <f>IF(I28+G29&gt;H28+F29,((I28+G29)-(H28+F29)),0)</f>
        <v>0.0</v>
      </c>
    </row>
    <row r="30" spans="8:8">
      <c r="B30" s="255"/>
      <c r="C30" s="256"/>
      <c r="D30" s="256"/>
      <c r="E30" s="256"/>
      <c r="F30" s="257"/>
      <c r="G30" s="258"/>
      <c r="H30" s="258"/>
      <c r="I30" s="259"/>
    </row>
    <row r="32" spans="8:8">
      <c r="B32" s="229" t="s">
        <v>167</v>
      </c>
      <c r="C32" s="128"/>
      <c r="D32" s="230">
        <v>11200.0</v>
      </c>
      <c r="E32" s="128"/>
      <c r="F32" s="128"/>
      <c r="G32" s="128"/>
      <c r="H32" s="128"/>
      <c r="I32" s="188"/>
    </row>
    <row r="33" spans="8:8">
      <c r="B33" s="131" t="s">
        <v>168</v>
      </c>
      <c r="C33" s="127"/>
      <c r="D33" s="132" t="str">
        <f>VLOOKUP(D32,'Master Account'!$A$6:$E$69,2,FALSE)</f>
        <v>BANK</v>
      </c>
      <c r="E33" s="127"/>
      <c r="F33" s="132"/>
      <c r="G33" s="231"/>
      <c r="H33" s="232"/>
      <c r="I33" s="233"/>
    </row>
    <row r="34" spans="8:8">
      <c r="B34" s="163"/>
      <c r="C34" s="127"/>
      <c r="D34" s="127"/>
      <c r="E34" s="127"/>
      <c r="F34" s="127"/>
      <c r="G34" s="232"/>
      <c r="H34" s="232"/>
      <c r="I34" s="233"/>
    </row>
    <row r="35" spans="8:8">
      <c r="B35" s="234" t="s">
        <v>132</v>
      </c>
      <c r="C35" s="235" t="s">
        <v>133</v>
      </c>
      <c r="D35" s="235" t="s">
        <v>146</v>
      </c>
      <c r="E35" s="235" t="s">
        <v>135</v>
      </c>
      <c r="F35" s="235" t="s">
        <v>136</v>
      </c>
      <c r="G35" s="236" t="s">
        <v>137</v>
      </c>
      <c r="H35" s="237" t="s">
        <v>141</v>
      </c>
      <c r="I35" s="238"/>
    </row>
    <row r="36" spans="8:8">
      <c r="B36" s="239"/>
      <c r="C36" s="240"/>
      <c r="D36" s="240"/>
      <c r="E36" s="240"/>
      <c r="F36" s="240"/>
      <c r="G36" s="241"/>
      <c r="H36" s="242" t="s">
        <v>136</v>
      </c>
      <c r="I36" s="243" t="s">
        <v>137</v>
      </c>
    </row>
    <row r="37" spans="8:8">
      <c r="B37" s="244"/>
      <c r="C37" s="245"/>
      <c r="D37" s="245" t="s">
        <v>147</v>
      </c>
      <c r="E37" s="246"/>
      <c r="F37" s="246"/>
      <c r="G37" s="247"/>
      <c r="H37" s="248">
        <f>VLOOKUP(D32,'Master Account'!$A$6:$E$69,4,FALSE)</f>
        <v>0.0</v>
      </c>
      <c r="I37" s="249">
        <f>VLOOKUP(D32,'Master Account'!$A$6:$E$69,5,FALSE)</f>
        <v>0.0</v>
      </c>
    </row>
    <row r="38" spans="8:8">
      <c r="B38" s="250"/>
      <c r="C38" s="251"/>
      <c r="D38" s="251" t="s">
        <v>169</v>
      </c>
      <c r="E38" s="252"/>
      <c r="F38" s="253">
        <f>SUMIF('JURNAL UMUM'!$A$8:$G$178,'BUKU BESAR'!D32,'JURNAL UMUM'!$F$8:$F$178)</f>
        <v>0.0</v>
      </c>
      <c r="G38" s="253">
        <f>SUMIF('JURNAL UMUM'!$A$8:$G$178,'BUKU BESAR'!D32,'JURNAL UMUM'!$G$8:$G$178)</f>
        <v>0.0</v>
      </c>
      <c r="H38" s="253">
        <f>IF(H37+F38&gt;I37+G38,((H37+F38)-(I37+G38)),0)</f>
        <v>0.0</v>
      </c>
      <c r="I38" s="254">
        <f>IF(I37+G38&gt;H37+F38,((I37+G38)-(H37+F38)),0)</f>
        <v>0.0</v>
      </c>
    </row>
    <row r="39" spans="8:8">
      <c r="B39" s="255"/>
      <c r="C39" s="256"/>
      <c r="D39" s="256"/>
      <c r="E39" s="256"/>
      <c r="F39" s="257"/>
      <c r="G39" s="258"/>
      <c r="H39" s="258"/>
      <c r="I39" s="259"/>
    </row>
    <row r="41" spans="8:8">
      <c r="B41" s="229" t="s">
        <v>167</v>
      </c>
      <c r="C41" s="128"/>
      <c r="D41" s="230">
        <v>11201.0</v>
      </c>
      <c r="E41" s="128"/>
      <c r="F41" s="128"/>
      <c r="G41" s="128"/>
      <c r="H41" s="128"/>
      <c r="I41" s="188"/>
    </row>
    <row r="42" spans="8:8">
      <c r="B42" s="131" t="s">
        <v>168</v>
      </c>
      <c r="C42" s="127"/>
      <c r="D42" s="132" t="str">
        <f>VLOOKUP(D41,'Master Account'!$A$6:$E$69,2,FALSE)</f>
        <v>Bank BCA</v>
      </c>
      <c r="E42" s="127"/>
      <c r="F42" s="132"/>
      <c r="G42" s="231"/>
      <c r="H42" s="232"/>
      <c r="I42" s="233"/>
    </row>
    <row r="43" spans="8:8">
      <c r="B43" s="163"/>
      <c r="C43" s="127"/>
      <c r="D43" s="127"/>
      <c r="E43" s="127"/>
      <c r="F43" s="127"/>
      <c r="G43" s="232"/>
      <c r="H43" s="232"/>
      <c r="I43" s="233"/>
    </row>
    <row r="44" spans="8:8">
      <c r="B44" s="234" t="s">
        <v>132</v>
      </c>
      <c r="C44" s="235" t="s">
        <v>133</v>
      </c>
      <c r="D44" s="235" t="s">
        <v>146</v>
      </c>
      <c r="E44" s="235" t="s">
        <v>135</v>
      </c>
      <c r="F44" s="235" t="s">
        <v>136</v>
      </c>
      <c r="G44" s="236" t="s">
        <v>137</v>
      </c>
      <c r="H44" s="237" t="s">
        <v>141</v>
      </c>
      <c r="I44" s="238"/>
    </row>
    <row r="45" spans="8:8">
      <c r="B45" s="239"/>
      <c r="C45" s="240"/>
      <c r="D45" s="240"/>
      <c r="E45" s="240"/>
      <c r="F45" s="240"/>
      <c r="G45" s="241"/>
      <c r="H45" s="242" t="s">
        <v>136</v>
      </c>
      <c r="I45" s="243" t="s">
        <v>137</v>
      </c>
    </row>
    <row r="46" spans="8:8">
      <c r="B46" s="244"/>
      <c r="C46" s="245"/>
      <c r="D46" s="245" t="s">
        <v>147</v>
      </c>
      <c r="E46" s="246"/>
      <c r="F46" s="246"/>
      <c r="G46" s="247"/>
      <c r="H46" s="248">
        <f>VLOOKUP(D41,'Master Account'!$A$6:$E$69,4,FALSE)</f>
        <v>4.5E7</v>
      </c>
      <c r="I46" s="249">
        <f>VLOOKUP(D41,'Master Account'!$A$6:$E$69,5,FALSE)</f>
        <v>0.0</v>
      </c>
    </row>
    <row r="47" spans="8:8">
      <c r="B47" s="250"/>
      <c r="C47" s="251"/>
      <c r="D47" s="251" t="s">
        <v>169</v>
      </c>
      <c r="E47" s="252"/>
      <c r="F47" s="253">
        <f>SUMIF('JURNAL UMUM'!$A$8:$G$178,'BUKU BESAR'!D41,'JURNAL UMUM'!$F$8:$F$178)</f>
        <v>4.59E7</v>
      </c>
      <c r="G47" s="253">
        <f>SUMIF('JURNAL UMUM'!$A$8:$G$178,'BUKU BESAR'!D41,'JURNAL UMUM'!$G$8:$G$178)</f>
        <v>6.9025E7</v>
      </c>
      <c r="H47" s="253">
        <f>IF(H46+F47&gt;I46+G47,((H46+F47)-(I46+G47)),0)</f>
        <v>2.1875E7</v>
      </c>
      <c r="I47" s="254">
        <f>IF(I46+G47&gt;H46+F47,((I46+G47)-(H46+F47)),0)</f>
        <v>0.0</v>
      </c>
    </row>
    <row r="48" spans="8:8">
      <c r="B48" s="255"/>
      <c r="C48" s="256"/>
      <c r="D48" s="256"/>
      <c r="E48" s="256"/>
      <c r="F48" s="257"/>
      <c r="G48" s="258"/>
      <c r="H48" s="258"/>
      <c r="I48" s="259"/>
    </row>
    <row r="50" spans="8:8">
      <c r="B50" s="229" t="s">
        <v>167</v>
      </c>
      <c r="C50" s="128"/>
      <c r="D50" s="230">
        <v>11202.0</v>
      </c>
      <c r="E50" s="128"/>
      <c r="F50" s="128"/>
      <c r="G50" s="128"/>
      <c r="H50" s="128"/>
      <c r="I50" s="188"/>
    </row>
    <row r="51" spans="8:8">
      <c r="B51" s="131" t="s">
        <v>168</v>
      </c>
      <c r="C51" s="127"/>
      <c r="D51" s="132" t="str">
        <f>VLOOKUP(D50,'Master Account'!$A$6:$E$69,2,FALSE)</f>
        <v>Bank Mandiri</v>
      </c>
      <c r="E51" s="127"/>
      <c r="F51" s="132"/>
      <c r="G51" s="231"/>
      <c r="H51" s="232"/>
      <c r="I51" s="233"/>
    </row>
    <row r="52" spans="8:8">
      <c r="B52" s="163"/>
      <c r="C52" s="127"/>
      <c r="D52" s="127"/>
      <c r="E52" s="127"/>
      <c r="F52" s="127"/>
      <c r="G52" s="232"/>
      <c r="H52" s="232"/>
      <c r="I52" s="233"/>
    </row>
    <row r="53" spans="8:8">
      <c r="B53" s="234" t="s">
        <v>132</v>
      </c>
      <c r="C53" s="235" t="s">
        <v>133</v>
      </c>
      <c r="D53" s="235" t="s">
        <v>146</v>
      </c>
      <c r="E53" s="235" t="s">
        <v>135</v>
      </c>
      <c r="F53" s="235" t="s">
        <v>136</v>
      </c>
      <c r="G53" s="236" t="s">
        <v>137</v>
      </c>
      <c r="H53" s="237" t="s">
        <v>141</v>
      </c>
      <c r="I53" s="238"/>
    </row>
    <row r="54" spans="8:8">
      <c r="B54" s="239"/>
      <c r="C54" s="240"/>
      <c r="D54" s="240"/>
      <c r="E54" s="240"/>
      <c r="F54" s="240"/>
      <c r="G54" s="241"/>
      <c r="H54" s="242" t="s">
        <v>136</v>
      </c>
      <c r="I54" s="243" t="s">
        <v>137</v>
      </c>
    </row>
    <row r="55" spans="8:8">
      <c r="B55" s="244"/>
      <c r="C55" s="245"/>
      <c r="D55" s="245" t="s">
        <v>147</v>
      </c>
      <c r="E55" s="246"/>
      <c r="F55" s="246"/>
      <c r="G55" s="247"/>
      <c r="H55" s="248">
        <f>VLOOKUP(D50,'Master Account'!$A$6:$E$69,4,FALSE)</f>
        <v>2.5E7</v>
      </c>
      <c r="I55" s="249">
        <f>VLOOKUP(D50,'Master Account'!$A$6:$E$69,5,FALSE)</f>
        <v>0.0</v>
      </c>
    </row>
    <row r="56" spans="8:8">
      <c r="B56" s="250"/>
      <c r="C56" s="251"/>
      <c r="D56" s="251" t="s">
        <v>169</v>
      </c>
      <c r="E56" s="252"/>
      <c r="F56" s="253">
        <f>SUMIF('JURNAL UMUM'!$A$8:$G$178,'BUKU BESAR'!D50,'JURNAL UMUM'!$F$8:$F$178)</f>
        <v>7.3409E7</v>
      </c>
      <c r="G56" s="253">
        <f>SUMIF('JURNAL UMUM'!$A$8:$G$178,'BUKU BESAR'!D50,'JURNAL UMUM'!$G$8:$G$178)</f>
        <v>4.48875E7</v>
      </c>
      <c r="H56" s="253">
        <f>IF(H55+F56&gt;I55+G56,((H55+F56)-(I55+G56)),0)</f>
        <v>5.35215E7</v>
      </c>
      <c r="I56" s="254">
        <f>IF(I55+G56&gt;H55+F56,((I55+G56)-(H55+F56)),0)</f>
        <v>0.0</v>
      </c>
    </row>
    <row r="57" spans="8:8">
      <c r="B57" s="255"/>
      <c r="C57" s="256"/>
      <c r="D57" s="256"/>
      <c r="E57" s="256"/>
      <c r="F57" s="257"/>
      <c r="G57" s="258"/>
      <c r="H57" s="258"/>
      <c r="I57" s="259"/>
    </row>
    <row r="58" spans="8:8">
      <c r="B58" s="260"/>
      <c r="C58" s="260"/>
      <c r="D58" s="260"/>
      <c r="E58" s="260"/>
      <c r="F58" s="260"/>
      <c r="G58" s="260"/>
      <c r="H58" s="260"/>
      <c r="I58" s="260"/>
    </row>
    <row r="59" spans="8:8">
      <c r="B59" s="229" t="s">
        <v>167</v>
      </c>
      <c r="C59" s="128"/>
      <c r="D59" s="230">
        <v>11300.0</v>
      </c>
      <c r="E59" s="128"/>
      <c r="F59" s="128"/>
      <c r="G59" s="128"/>
      <c r="H59" s="128"/>
      <c r="I59" s="188"/>
    </row>
    <row r="60" spans="8:8">
      <c r="B60" s="131" t="s">
        <v>168</v>
      </c>
      <c r="C60" s="127"/>
      <c r="D60" s="132" t="str">
        <f>VLOOKUP(D59,'Master Account'!$A$6:$E$69,2,FALSE)</f>
        <v>PIUTANG USAHA BERSIH</v>
      </c>
      <c r="E60" s="127"/>
      <c r="F60" s="132"/>
      <c r="G60" s="231"/>
      <c r="H60" s="232"/>
      <c r="I60" s="233"/>
    </row>
    <row r="61" spans="8:8">
      <c r="B61" s="163"/>
      <c r="C61" s="127"/>
      <c r="D61" s="127"/>
      <c r="E61" s="127"/>
      <c r="F61" s="127"/>
      <c r="G61" s="232"/>
      <c r="H61" s="232"/>
      <c r="I61" s="233"/>
    </row>
    <row r="62" spans="8:8">
      <c r="B62" s="234" t="s">
        <v>132</v>
      </c>
      <c r="C62" s="235" t="s">
        <v>133</v>
      </c>
      <c r="D62" s="235" t="s">
        <v>146</v>
      </c>
      <c r="E62" s="235" t="s">
        <v>135</v>
      </c>
      <c r="F62" s="235" t="s">
        <v>136</v>
      </c>
      <c r="G62" s="236" t="s">
        <v>137</v>
      </c>
      <c r="H62" s="237" t="s">
        <v>141</v>
      </c>
      <c r="I62" s="238"/>
    </row>
    <row r="63" spans="8:8">
      <c r="B63" s="239"/>
      <c r="C63" s="240"/>
      <c r="D63" s="240"/>
      <c r="E63" s="240"/>
      <c r="F63" s="240"/>
      <c r="G63" s="241"/>
      <c r="H63" s="242" t="s">
        <v>136</v>
      </c>
      <c r="I63" s="243" t="s">
        <v>137</v>
      </c>
    </row>
    <row r="64" spans="8:8">
      <c r="B64" s="244"/>
      <c r="C64" s="245"/>
      <c r="D64" s="245" t="s">
        <v>147</v>
      </c>
      <c r="E64" s="246"/>
      <c r="F64" s="246"/>
      <c r="G64" s="247"/>
      <c r="H64" s="248">
        <f>VLOOKUP(D59,'Master Account'!$A$6:$E$69,4,FALSE)</f>
        <v>0.0</v>
      </c>
      <c r="I64" s="249">
        <f>VLOOKUP(D59,'Master Account'!$A$6:$E$69,5,FALSE)</f>
        <v>0.0</v>
      </c>
    </row>
    <row r="65" spans="8:8">
      <c r="B65" s="250"/>
      <c r="C65" s="251"/>
      <c r="D65" s="251" t="s">
        <v>169</v>
      </c>
      <c r="E65" s="252"/>
      <c r="F65" s="253">
        <f>SUMIF('JURNAL UMUM'!$A$8:$G$178,'BUKU BESAR'!D59,'JURNAL UMUM'!$F$8:$F$178)</f>
        <v>0.0</v>
      </c>
      <c r="G65" s="253">
        <f>SUMIF('JURNAL UMUM'!$A$8:$G$178,'BUKU BESAR'!D59,'JURNAL UMUM'!$G$8:$G$178)</f>
        <v>0.0</v>
      </c>
      <c r="H65" s="253">
        <f>IF(H64+F65&gt;I64+G65,((H64+F65)-(I64+G65)),0)</f>
        <v>0.0</v>
      </c>
      <c r="I65" s="254">
        <f>IF(I64+G65&gt;H64+F65,((I64+G65)-(H64+F65)),0)</f>
        <v>0.0</v>
      </c>
    </row>
    <row r="66" spans="8:8">
      <c r="B66" s="255"/>
      <c r="C66" s="256"/>
      <c r="D66" s="256"/>
      <c r="E66" s="256"/>
      <c r="F66" s="257"/>
      <c r="G66" s="258"/>
      <c r="H66" s="258"/>
      <c r="I66" s="259"/>
    </row>
    <row r="67" spans="8:8">
      <c r="B67" s="260"/>
      <c r="C67" s="260"/>
      <c r="D67" s="260"/>
      <c r="E67" s="260"/>
      <c r="F67" s="260"/>
      <c r="G67" s="260"/>
      <c r="H67" s="260"/>
      <c r="I67" s="260"/>
    </row>
    <row r="68" spans="8:8">
      <c r="B68" s="229" t="s">
        <v>167</v>
      </c>
      <c r="C68" s="128"/>
      <c r="D68" s="230">
        <v>11301.0</v>
      </c>
      <c r="E68" s="128"/>
      <c r="F68" s="128"/>
      <c r="G68" s="128"/>
      <c r="H68" s="128"/>
      <c r="I68" s="188"/>
    </row>
    <row r="69" spans="8:8">
      <c r="B69" s="131" t="s">
        <v>168</v>
      </c>
      <c r="C69" s="127"/>
      <c r="D69" s="132" t="str">
        <f>VLOOKUP(D68,'Master Account'!$A$6:$E$69,2,FALSE)</f>
        <v>Piutang Usaha </v>
      </c>
      <c r="E69" s="127"/>
      <c r="F69" s="132"/>
      <c r="G69" s="231"/>
      <c r="H69" s="232"/>
      <c r="I69" s="233"/>
    </row>
    <row r="70" spans="8:8">
      <c r="B70" s="163"/>
      <c r="C70" s="127"/>
      <c r="D70" s="127"/>
      <c r="E70" s="127"/>
      <c r="F70" s="127"/>
      <c r="G70" s="232"/>
      <c r="H70" s="232"/>
      <c r="I70" s="233"/>
    </row>
    <row r="71" spans="8:8">
      <c r="B71" s="234" t="s">
        <v>132</v>
      </c>
      <c r="C71" s="235" t="s">
        <v>133</v>
      </c>
      <c r="D71" s="235" t="s">
        <v>146</v>
      </c>
      <c r="E71" s="235" t="s">
        <v>135</v>
      </c>
      <c r="F71" s="235" t="s">
        <v>136</v>
      </c>
      <c r="G71" s="236" t="s">
        <v>137</v>
      </c>
      <c r="H71" s="237" t="s">
        <v>141</v>
      </c>
      <c r="I71" s="238"/>
    </row>
    <row r="72" spans="8:8">
      <c r="B72" s="239"/>
      <c r="C72" s="240"/>
      <c r="D72" s="240"/>
      <c r="E72" s="240"/>
      <c r="F72" s="240"/>
      <c r="G72" s="241"/>
      <c r="H72" s="242" t="s">
        <v>136</v>
      </c>
      <c r="I72" s="243" t="s">
        <v>137</v>
      </c>
    </row>
    <row r="73" spans="8:8">
      <c r="B73" s="244"/>
      <c r="C73" s="245"/>
      <c r="D73" s="245" t="s">
        <v>147</v>
      </c>
      <c r="E73" s="246"/>
      <c r="F73" s="246"/>
      <c r="G73" s="247"/>
      <c r="H73" s="248">
        <f>VLOOKUP(D68,'Master Account'!$A$6:$E$69,4,FALSE)</f>
        <v>4.75E7</v>
      </c>
      <c r="I73" s="249">
        <f>VLOOKUP(D68,'Master Account'!$A$6:$E$69,5,FALSE)</f>
        <v>0.0</v>
      </c>
    </row>
    <row r="74" spans="8:8">
      <c r="B74" s="250"/>
      <c r="C74" s="251"/>
      <c r="D74" s="251" t="s">
        <v>169</v>
      </c>
      <c r="E74" s="252"/>
      <c r="F74" s="253">
        <f>SUMIF('JURNAL UMUM'!$A$8:$G$178,'BUKU BESAR'!D68,'JURNAL UMUM'!$F$8:$F$178)</f>
        <v>5.996E7</v>
      </c>
      <c r="G74" s="253">
        <f>SUMIF('JURNAL UMUM'!$A$8:$G$178,'BUKU BESAR'!D68,'JURNAL UMUM'!$G$8:$G$178)</f>
        <v>4.9425E7</v>
      </c>
      <c r="H74" s="253">
        <f>IF(H73+F74&gt;I73+G74,((H73+F74)-(I73+G74)),0)</f>
        <v>5.8035E7</v>
      </c>
      <c r="I74" s="254">
        <f>IF(I73+G74&gt;H73+F74,((I73+G74)-(H73+F74)),0)</f>
        <v>0.0</v>
      </c>
    </row>
    <row r="75" spans="8:8">
      <c r="B75" s="255"/>
      <c r="C75" s="256"/>
      <c r="D75" s="256"/>
      <c r="E75" s="256"/>
      <c r="F75" s="257"/>
      <c r="G75" s="258"/>
      <c r="H75" s="258"/>
      <c r="I75" s="259"/>
    </row>
    <row r="76" spans="8:8">
      <c r="B76" s="260"/>
      <c r="C76" s="260"/>
      <c r="D76" s="260"/>
      <c r="E76" s="260"/>
      <c r="F76" s="260"/>
      <c r="G76" s="260"/>
      <c r="H76" s="260"/>
      <c r="I76" s="260"/>
    </row>
    <row r="77" spans="8:8">
      <c r="B77" s="229" t="s">
        <v>167</v>
      </c>
      <c r="C77" s="128"/>
      <c r="D77" s="230">
        <v>11302.0</v>
      </c>
      <c r="E77" s="128"/>
      <c r="F77" s="128"/>
      <c r="G77" s="128"/>
      <c r="H77" s="128"/>
      <c r="I77" s="188"/>
    </row>
    <row r="78" spans="8:8">
      <c r="B78" s="131" t="s">
        <v>168</v>
      </c>
      <c r="C78" s="127"/>
      <c r="D78" s="132" t="str">
        <f>VLOOKUP(D77,'Master Account'!$A$6:$E$69,2,FALSE)</f>
        <v>Cadangan Piutang Tak Tertagih</v>
      </c>
      <c r="E78" s="127"/>
      <c r="F78" s="132"/>
      <c r="G78" s="231"/>
      <c r="H78" s="232"/>
      <c r="I78" s="233"/>
    </row>
    <row r="79" spans="8:8">
      <c r="B79" s="163"/>
      <c r="C79" s="127"/>
      <c r="D79" s="127"/>
      <c r="E79" s="127"/>
      <c r="F79" s="127"/>
      <c r="G79" s="232"/>
      <c r="H79" s="232"/>
      <c r="I79" s="233"/>
    </row>
    <row r="80" spans="8:8">
      <c r="B80" s="234" t="s">
        <v>132</v>
      </c>
      <c r="C80" s="235" t="s">
        <v>133</v>
      </c>
      <c r="D80" s="235" t="s">
        <v>146</v>
      </c>
      <c r="E80" s="235" t="s">
        <v>135</v>
      </c>
      <c r="F80" s="235" t="s">
        <v>136</v>
      </c>
      <c r="G80" s="236" t="s">
        <v>137</v>
      </c>
      <c r="H80" s="237" t="s">
        <v>141</v>
      </c>
      <c r="I80" s="238"/>
    </row>
    <row r="81" spans="8:8">
      <c r="B81" s="239"/>
      <c r="C81" s="240"/>
      <c r="D81" s="240"/>
      <c r="E81" s="240"/>
      <c r="F81" s="240"/>
      <c r="G81" s="241"/>
      <c r="H81" s="242" t="s">
        <v>136</v>
      </c>
      <c r="I81" s="243" t="s">
        <v>137</v>
      </c>
    </row>
    <row r="82" spans="8:8">
      <c r="B82" s="244"/>
      <c r="C82" s="245"/>
      <c r="D82" s="245" t="s">
        <v>147</v>
      </c>
      <c r="E82" s="246"/>
      <c r="F82" s="246"/>
      <c r="G82" s="247"/>
      <c r="H82" s="248">
        <f>VLOOKUP(D77,'Master Account'!$A$6:$E$69,4,FALSE)</f>
        <v>0.0</v>
      </c>
      <c r="I82" s="249">
        <f>VLOOKUP(D77,'Master Account'!$A$6:$E$69,5,FALSE)</f>
        <v>0.0</v>
      </c>
    </row>
    <row r="83" spans="8:8">
      <c r="B83" s="250"/>
      <c r="C83" s="251"/>
      <c r="D83" s="251" t="s">
        <v>169</v>
      </c>
      <c r="E83" s="252"/>
      <c r="F83" s="253">
        <f>SUMIF('JURNAL UMUM'!$A$8:$G$178,'BUKU BESAR'!D77,'JURNAL UMUM'!$F$8:$F$178)</f>
        <v>0.0</v>
      </c>
      <c r="G83" s="253">
        <f>SUMIF('JURNAL UMUM'!$A$8:$G$178,'BUKU BESAR'!D77,'JURNAL UMUM'!$G$8:$G$178)</f>
        <v>2901750.0</v>
      </c>
      <c r="H83" s="253">
        <f>IF(H82+F83&gt;I82+G83,((H82+F83)-(I82+G83)),0)</f>
        <v>0.0</v>
      </c>
      <c r="I83" s="254">
        <f>IF(I82+G83&gt;H82+F83,((I82+G83)-(H82+F83)),0)</f>
        <v>2901750.0</v>
      </c>
    </row>
    <row r="84" spans="8:8">
      <c r="B84" s="255"/>
      <c r="C84" s="256"/>
      <c r="D84" s="256"/>
      <c r="E84" s="256"/>
      <c r="F84" s="257"/>
      <c r="G84" s="258"/>
      <c r="H84" s="258"/>
      <c r="I84" s="259"/>
    </row>
    <row r="85" spans="8:8">
      <c r="B85" s="260"/>
      <c r="C85" s="260"/>
      <c r="D85" s="260"/>
      <c r="E85" s="260"/>
      <c r="F85" s="260"/>
      <c r="G85" s="260"/>
      <c r="H85" s="260"/>
      <c r="I85" s="260"/>
    </row>
    <row r="86" spans="8:8">
      <c r="B86" s="229" t="s">
        <v>167</v>
      </c>
      <c r="C86" s="128"/>
      <c r="D86" s="230">
        <v>11400.0</v>
      </c>
      <c r="E86" s="128"/>
      <c r="F86" s="128"/>
      <c r="G86" s="128"/>
      <c r="H86" s="128"/>
      <c r="I86" s="188"/>
    </row>
    <row r="87" spans="8:8">
      <c r="B87" s="131" t="s">
        <v>168</v>
      </c>
      <c r="C87" s="127"/>
      <c r="D87" s="132" t="str">
        <f>VLOOKUP(D86,'Master Account'!$A$6:$E$69,2,FALSE)</f>
        <v>PIUTANG LAIN-LAIN</v>
      </c>
      <c r="E87" s="127"/>
      <c r="F87" s="132"/>
      <c r="G87" s="231"/>
      <c r="H87" s="232"/>
      <c r="I87" s="233"/>
    </row>
    <row r="88" spans="8:8">
      <c r="B88" s="163"/>
      <c r="C88" s="127"/>
      <c r="D88" s="127"/>
      <c r="E88" s="127"/>
      <c r="F88" s="127"/>
      <c r="G88" s="232"/>
      <c r="H88" s="232"/>
      <c r="I88" s="233"/>
    </row>
    <row r="89" spans="8:8">
      <c r="B89" s="234" t="s">
        <v>132</v>
      </c>
      <c r="C89" s="235" t="s">
        <v>133</v>
      </c>
      <c r="D89" s="235" t="s">
        <v>146</v>
      </c>
      <c r="E89" s="235" t="s">
        <v>135</v>
      </c>
      <c r="F89" s="235" t="s">
        <v>136</v>
      </c>
      <c r="G89" s="236" t="s">
        <v>137</v>
      </c>
      <c r="H89" s="237" t="s">
        <v>141</v>
      </c>
      <c r="I89" s="238"/>
    </row>
    <row r="90" spans="8:8">
      <c r="B90" s="239"/>
      <c r="C90" s="240"/>
      <c r="D90" s="240"/>
      <c r="E90" s="240"/>
      <c r="F90" s="240"/>
      <c r="G90" s="241"/>
      <c r="H90" s="242" t="s">
        <v>136</v>
      </c>
      <c r="I90" s="243" t="s">
        <v>137</v>
      </c>
    </row>
    <row r="91" spans="8:8">
      <c r="B91" s="244"/>
      <c r="C91" s="245"/>
      <c r="D91" s="245" t="s">
        <v>147</v>
      </c>
      <c r="E91" s="246"/>
      <c r="F91" s="246"/>
      <c r="G91" s="247"/>
      <c r="H91" s="248">
        <f>VLOOKUP(D86,'Master Account'!$A$6:$E$69,4,FALSE)</f>
        <v>0.0</v>
      </c>
      <c r="I91" s="249">
        <f>VLOOKUP(D86,'Master Account'!$A$6:$E$69,5,FALSE)</f>
        <v>0.0</v>
      </c>
    </row>
    <row r="92" spans="8:8">
      <c r="B92" s="250"/>
      <c r="C92" s="251"/>
      <c r="D92" s="251" t="s">
        <v>169</v>
      </c>
      <c r="E92" s="252"/>
      <c r="F92" s="253">
        <f>SUMIF('JURNAL UMUM'!$A$8:$G$178,'BUKU BESAR'!D86,'JURNAL UMUM'!$F$8:$F$178)</f>
        <v>0.0</v>
      </c>
      <c r="G92" s="253">
        <f>SUMIF('JURNAL UMUM'!$A$8:$G$178,'BUKU BESAR'!D86,'JURNAL UMUM'!$G$8:$G$178)</f>
        <v>0.0</v>
      </c>
      <c r="H92" s="253">
        <f>IF(H91+F92&gt;I91+G92,((H91+F92)-(I91+G92)),0)</f>
        <v>0.0</v>
      </c>
      <c r="I92" s="254">
        <f>IF(I91+G92&gt;H91+F92,((I91+G92)-(H91+F92)),0)</f>
        <v>0.0</v>
      </c>
    </row>
    <row r="93" spans="8:8">
      <c r="B93" s="255"/>
      <c r="C93" s="256"/>
      <c r="D93" s="256"/>
      <c r="E93" s="256"/>
      <c r="F93" s="257"/>
      <c r="G93" s="258"/>
      <c r="H93" s="258"/>
      <c r="I93" s="259"/>
    </row>
    <row r="95" spans="8:8">
      <c r="B95" s="229" t="s">
        <v>167</v>
      </c>
      <c r="C95" s="128"/>
      <c r="D95" s="230">
        <v>11401.0</v>
      </c>
      <c r="E95" s="128"/>
      <c r="F95" s="128"/>
      <c r="G95" s="128"/>
      <c r="H95" s="128"/>
      <c r="I95" s="188"/>
    </row>
    <row r="96" spans="8:8">
      <c r="B96" s="131" t="s">
        <v>168</v>
      </c>
      <c r="C96" s="127"/>
      <c r="D96" s="132" t="str">
        <f>VLOOKUP(D95,'Master Account'!$A$6:$E$69,2,FALSE)</f>
        <v>Piutang Karyawan</v>
      </c>
      <c r="E96" s="127"/>
      <c r="F96" s="132"/>
      <c r="G96" s="231"/>
      <c r="H96" s="232"/>
      <c r="I96" s="233"/>
    </row>
    <row r="97" spans="8:8">
      <c r="B97" s="163"/>
      <c r="C97" s="127"/>
      <c r="D97" s="127"/>
      <c r="E97" s="127"/>
      <c r="F97" s="127"/>
      <c r="G97" s="232"/>
      <c r="H97" s="232"/>
      <c r="I97" s="233"/>
    </row>
    <row r="98" spans="8:8">
      <c r="B98" s="234" t="s">
        <v>132</v>
      </c>
      <c r="C98" s="235" t="s">
        <v>133</v>
      </c>
      <c r="D98" s="235" t="s">
        <v>146</v>
      </c>
      <c r="E98" s="235" t="s">
        <v>135</v>
      </c>
      <c r="F98" s="235" t="s">
        <v>136</v>
      </c>
      <c r="G98" s="236" t="s">
        <v>137</v>
      </c>
      <c r="H98" s="237" t="s">
        <v>141</v>
      </c>
      <c r="I98" s="238"/>
    </row>
    <row r="99" spans="8:8">
      <c r="B99" s="239"/>
      <c r="C99" s="240"/>
      <c r="D99" s="240"/>
      <c r="E99" s="240"/>
      <c r="F99" s="240"/>
      <c r="G99" s="241"/>
      <c r="H99" s="242" t="s">
        <v>136</v>
      </c>
      <c r="I99" s="243" t="s">
        <v>137</v>
      </c>
    </row>
    <row r="100" spans="8:8">
      <c r="B100" s="244"/>
      <c r="C100" s="245"/>
      <c r="D100" s="245" t="s">
        <v>147</v>
      </c>
      <c r="E100" s="246"/>
      <c r="F100" s="246"/>
      <c r="G100" s="247"/>
      <c r="H100" s="248">
        <f>VLOOKUP(D95,'Master Account'!$A$6:$E$69,4,FALSE)</f>
        <v>0.0</v>
      </c>
      <c r="I100" s="249">
        <f>VLOOKUP(D95,'Master Account'!$A$6:$E$69,5,FALSE)</f>
        <v>0.0</v>
      </c>
    </row>
    <row r="101" spans="8:8">
      <c r="B101" s="250"/>
      <c r="C101" s="251"/>
      <c r="D101" s="251" t="s">
        <v>169</v>
      </c>
      <c r="E101" s="252"/>
      <c r="F101" s="253">
        <f>SUMIF('JURNAL UMUM'!$A$8:$G$178,'BUKU BESAR'!D95,'JURNAL UMUM'!$F$8:$F$178)</f>
        <v>2500000.0</v>
      </c>
      <c r="G101" s="253">
        <f>SUMIF('JURNAL UMUM'!$A$8:$G$178,'BUKU BESAR'!D95,'JURNAL UMUM'!$G$8:$G$178)</f>
        <v>500000.0</v>
      </c>
      <c r="H101" s="253">
        <f>IF(H100+F101&gt;I100+G101,((H100+F101)-(I100+G101)),0)</f>
        <v>2000000.0</v>
      </c>
      <c r="I101" s="254">
        <f>IF(I100+G101&gt;H100+F101,((I100+G101)-(H100+F101)),0)</f>
        <v>0.0</v>
      </c>
    </row>
    <row r="102" spans="8:8">
      <c r="B102" s="255"/>
      <c r="C102" s="256"/>
      <c r="D102" s="256"/>
      <c r="E102" s="256"/>
      <c r="F102" s="257"/>
      <c r="G102" s="258"/>
      <c r="H102" s="258"/>
      <c r="I102" s="259"/>
    </row>
    <row r="103" spans="8:8">
      <c r="B103" s="260"/>
      <c r="C103" s="260"/>
      <c r="D103" s="260"/>
      <c r="E103" s="260"/>
      <c r="F103" s="260"/>
      <c r="G103" s="260"/>
      <c r="H103" s="260"/>
      <c r="I103" s="260"/>
    </row>
    <row r="104" spans="8:8">
      <c r="B104" s="229" t="s">
        <v>167</v>
      </c>
      <c r="C104" s="128"/>
      <c r="D104" s="230">
        <v>11500.0</v>
      </c>
      <c r="E104" s="128"/>
      <c r="F104" s="128"/>
      <c r="G104" s="128"/>
      <c r="H104" s="128"/>
      <c r="I104" s="188"/>
    </row>
    <row r="105" spans="8:8">
      <c r="B105" s="131" t="s">
        <v>168</v>
      </c>
      <c r="C105" s="127"/>
      <c r="D105" s="132" t="str">
        <f>VLOOKUP(D104,'Master Account'!$A$6:$E$69,2,FALSE)</f>
        <v>PERSEDIAAN BARANG DAGANGAN</v>
      </c>
      <c r="E105" s="127"/>
      <c r="F105" s="132"/>
      <c r="G105" s="231"/>
      <c r="H105" s="232"/>
      <c r="I105" s="233"/>
    </row>
    <row r="106" spans="8:8">
      <c r="B106" s="163"/>
      <c r="C106" s="127"/>
      <c r="D106" s="127"/>
      <c r="E106" s="127"/>
      <c r="F106" s="127"/>
      <c r="G106" s="232"/>
      <c r="H106" s="232"/>
      <c r="I106" s="233"/>
    </row>
    <row r="107" spans="8:8">
      <c r="B107" s="234" t="s">
        <v>132</v>
      </c>
      <c r="C107" s="235" t="s">
        <v>133</v>
      </c>
      <c r="D107" s="235" t="s">
        <v>146</v>
      </c>
      <c r="E107" s="235" t="s">
        <v>135</v>
      </c>
      <c r="F107" s="235" t="s">
        <v>136</v>
      </c>
      <c r="G107" s="236" t="s">
        <v>137</v>
      </c>
      <c r="H107" s="237" t="s">
        <v>141</v>
      </c>
      <c r="I107" s="238"/>
    </row>
    <row r="108" spans="8:8">
      <c r="B108" s="239"/>
      <c r="C108" s="240"/>
      <c r="D108" s="240"/>
      <c r="E108" s="240"/>
      <c r="F108" s="240"/>
      <c r="G108" s="241"/>
      <c r="H108" s="242" t="s">
        <v>136</v>
      </c>
      <c r="I108" s="243" t="s">
        <v>137</v>
      </c>
    </row>
    <row r="109" spans="8:8">
      <c r="B109" s="244"/>
      <c r="C109" s="245"/>
      <c r="D109" s="245" t="s">
        <v>147</v>
      </c>
      <c r="E109" s="246"/>
      <c r="F109" s="246"/>
      <c r="G109" s="247"/>
      <c r="H109" s="248">
        <f>VLOOKUP(D104,'Master Account'!$A$6:$E$69,4,FALSE)</f>
        <v>1.6638E8</v>
      </c>
      <c r="I109" s="249">
        <f>VLOOKUP(D104,'Master Account'!$A$6:$E$69,5,FALSE)</f>
        <v>0.0</v>
      </c>
    </row>
    <row r="110" spans="8:8">
      <c r="B110" s="250"/>
      <c r="C110" s="251"/>
      <c r="D110" s="251" t="s">
        <v>169</v>
      </c>
      <c r="E110" s="252"/>
      <c r="F110" s="253">
        <f>SUMIF('JURNAL UMUM'!$A$8:$G$178,'BUKU BESAR'!D104,'JURNAL UMUM'!$F$8:$F$178)</f>
        <v>2.3475E7</v>
      </c>
      <c r="G110" s="253">
        <f>SUMIF('JURNAL UMUM'!$A$8:$G$178,'BUKU BESAR'!D104,'JURNAL UMUM'!$G$8:$G$178)</f>
        <v>1.1839E8</v>
      </c>
      <c r="H110" s="253">
        <f>IF(H109+F110&gt;I109+G110,((H109+F110)-(I109+G110)),0)</f>
        <v>7.1465E7</v>
      </c>
      <c r="I110" s="254">
        <f>IF(I109+G110&gt;H109+F110,((I109+G110)-(H109+F110)),0)</f>
        <v>0.0</v>
      </c>
    </row>
    <row r="111" spans="8:8">
      <c r="B111" s="255"/>
      <c r="C111" s="256"/>
      <c r="D111" s="256"/>
      <c r="E111" s="256"/>
      <c r="F111" s="257"/>
      <c r="G111" s="258"/>
      <c r="H111" s="258"/>
      <c r="I111" s="259"/>
    </row>
    <row r="112" spans="8:8">
      <c r="B112" s="260"/>
      <c r="C112" s="260"/>
      <c r="D112" s="260"/>
      <c r="E112" s="260"/>
      <c r="F112" s="260"/>
      <c r="G112" s="260"/>
      <c r="H112" s="260"/>
      <c r="I112" s="260"/>
    </row>
    <row r="113" spans="8:8">
      <c r="B113" s="229" t="s">
        <v>167</v>
      </c>
      <c r="C113" s="128"/>
      <c r="D113" s="230">
        <v>11600.0</v>
      </c>
      <c r="E113" s="128"/>
      <c r="F113" s="128"/>
      <c r="G113" s="128"/>
      <c r="H113" s="128"/>
      <c r="I113" s="188"/>
    </row>
    <row r="114" spans="8:8">
      <c r="B114" s="131" t="s">
        <v>168</v>
      </c>
      <c r="C114" s="127"/>
      <c r="D114" s="132" t="str">
        <f>VLOOKUP(D113,'Master Account'!$A$6:$E$69,2,FALSE)</f>
        <v>PEMBAYARAN DIMUKA</v>
      </c>
      <c r="E114" s="127"/>
      <c r="F114" s="132"/>
      <c r="G114" s="231"/>
      <c r="H114" s="232"/>
      <c r="I114" s="233"/>
    </row>
    <row r="115" spans="8:8">
      <c r="B115" s="163"/>
      <c r="C115" s="127"/>
      <c r="D115" s="127"/>
      <c r="E115" s="127"/>
      <c r="F115" s="127"/>
      <c r="G115" s="232"/>
      <c r="H115" s="232"/>
      <c r="I115" s="233"/>
    </row>
    <row r="116" spans="8:8">
      <c r="B116" s="234" t="s">
        <v>132</v>
      </c>
      <c r="C116" s="235" t="s">
        <v>133</v>
      </c>
      <c r="D116" s="235" t="s">
        <v>146</v>
      </c>
      <c r="E116" s="235" t="s">
        <v>135</v>
      </c>
      <c r="F116" s="235" t="s">
        <v>136</v>
      </c>
      <c r="G116" s="236" t="s">
        <v>137</v>
      </c>
      <c r="H116" s="237" t="s">
        <v>141</v>
      </c>
      <c r="I116" s="238"/>
    </row>
    <row r="117" spans="8:8">
      <c r="B117" s="239"/>
      <c r="C117" s="240"/>
      <c r="D117" s="240"/>
      <c r="E117" s="240"/>
      <c r="F117" s="240"/>
      <c r="G117" s="241"/>
      <c r="H117" s="242" t="s">
        <v>136</v>
      </c>
      <c r="I117" s="243" t="s">
        <v>137</v>
      </c>
    </row>
    <row r="118" spans="8:8">
      <c r="B118" s="244"/>
      <c r="C118" s="245"/>
      <c r="D118" s="245" t="s">
        <v>147</v>
      </c>
      <c r="E118" s="246"/>
      <c r="F118" s="246"/>
      <c r="G118" s="247"/>
      <c r="H118" s="248">
        <f>VLOOKUP(D113,'Master Account'!$A$6:$E$69,4,FALSE)</f>
        <v>0.0</v>
      </c>
      <c r="I118" s="249">
        <f>VLOOKUP(D113,'Master Account'!$A$6:$E$69,5,FALSE)</f>
        <v>0.0</v>
      </c>
    </row>
    <row r="119" spans="8:8">
      <c r="B119" s="250"/>
      <c r="C119" s="251"/>
      <c r="D119" s="251" t="s">
        <v>169</v>
      </c>
      <c r="E119" s="252"/>
      <c r="F119" s="253">
        <f>SUMIF('JURNAL UMUM'!$A$8:$G$178,'BUKU BESAR'!D113,'JURNAL UMUM'!$F$8:$F$178)</f>
        <v>0.0</v>
      </c>
      <c r="G119" s="253">
        <f>SUMIF('JURNAL UMUM'!$A$8:$G$178,'BUKU BESAR'!D113,'JURNAL UMUM'!$G$8:$G$178)</f>
        <v>0.0</v>
      </c>
      <c r="H119" s="253">
        <f>IF(H118+F119&gt;I118+G119,((H118+F119)-(I118+G119)),0)</f>
        <v>0.0</v>
      </c>
      <c r="I119" s="254">
        <f>IF(I118+G119&gt;H118+F119,((I118+G119)-(H118+F119)),0)</f>
        <v>0.0</v>
      </c>
    </row>
    <row r="120" spans="8:8">
      <c r="B120" s="255"/>
      <c r="C120" s="256"/>
      <c r="D120" s="256"/>
      <c r="E120" s="256"/>
      <c r="F120" s="257"/>
      <c r="G120" s="258"/>
      <c r="H120" s="258"/>
      <c r="I120" s="259"/>
    </row>
    <row r="121" spans="8:8">
      <c r="B121" s="260"/>
      <c r="C121" s="260"/>
      <c r="D121" s="260"/>
      <c r="E121" s="260"/>
      <c r="F121" s="260"/>
      <c r="G121" s="260"/>
      <c r="H121" s="260"/>
      <c r="I121" s="260"/>
    </row>
    <row r="122" spans="8:8">
      <c r="B122" s="229" t="s">
        <v>167</v>
      </c>
      <c r="C122" s="128"/>
      <c r="D122" s="230">
        <v>11601.0</v>
      </c>
      <c r="E122" s="128"/>
      <c r="F122" s="128"/>
      <c r="G122" s="128"/>
      <c r="H122" s="128"/>
      <c r="I122" s="188"/>
    </row>
    <row r="123" spans="8:8">
      <c r="B123" s="131" t="s">
        <v>168</v>
      </c>
      <c r="C123" s="127"/>
      <c r="D123" s="132" t="str">
        <f>VLOOKUP(D122,'Master Account'!$A$6:$E$69,2,FALSE)</f>
        <v>PPN Masukan</v>
      </c>
      <c r="E123" s="127"/>
      <c r="F123" s="132"/>
      <c r="G123" s="231"/>
      <c r="H123" s="232"/>
      <c r="I123" s="233"/>
    </row>
    <row r="124" spans="8:8">
      <c r="B124" s="163"/>
      <c r="C124" s="127"/>
      <c r="D124" s="127"/>
      <c r="E124" s="127"/>
      <c r="F124" s="127"/>
      <c r="G124" s="232"/>
      <c r="H124" s="232"/>
      <c r="I124" s="233"/>
    </row>
    <row r="125" spans="8:8">
      <c r="B125" s="234" t="s">
        <v>132</v>
      </c>
      <c r="C125" s="235" t="s">
        <v>133</v>
      </c>
      <c r="D125" s="235" t="s">
        <v>146</v>
      </c>
      <c r="E125" s="235" t="s">
        <v>135</v>
      </c>
      <c r="F125" s="235" t="s">
        <v>136</v>
      </c>
      <c r="G125" s="236" t="s">
        <v>137</v>
      </c>
      <c r="H125" s="237" t="s">
        <v>141</v>
      </c>
      <c r="I125" s="238"/>
    </row>
    <row r="126" spans="8:8">
      <c r="B126" s="239"/>
      <c r="C126" s="240"/>
      <c r="D126" s="240"/>
      <c r="E126" s="240"/>
      <c r="F126" s="240"/>
      <c r="G126" s="241"/>
      <c r="H126" s="242" t="s">
        <v>136</v>
      </c>
      <c r="I126" s="243" t="s">
        <v>137</v>
      </c>
    </row>
    <row r="127" spans="8:8">
      <c r="B127" s="244"/>
      <c r="C127" s="245"/>
      <c r="D127" s="245" t="s">
        <v>147</v>
      </c>
      <c r="E127" s="246"/>
      <c r="F127" s="246"/>
      <c r="G127" s="247"/>
      <c r="H127" s="248">
        <f>VLOOKUP(D122,'Master Account'!$A$6:$E$69,4,FALSE)</f>
        <v>0.0</v>
      </c>
      <c r="I127" s="249">
        <f>VLOOKUP(D122,'Master Account'!$A$6:$E$69,5,FALSE)</f>
        <v>0.0</v>
      </c>
    </row>
    <row r="128" spans="8:8">
      <c r="B128" s="250"/>
      <c r="C128" s="251"/>
      <c r="D128" s="251" t="s">
        <v>169</v>
      </c>
      <c r="E128" s="252"/>
      <c r="F128" s="253">
        <f>SUMIF('JURNAL UMUM'!$A$8:$G$178,'BUKU BESAR'!D122,'JURNAL UMUM'!$F$8:$F$178)</f>
        <v>2425000.0</v>
      </c>
      <c r="G128" s="253">
        <f>SUMIF('JURNAL UMUM'!$A$8:$G$178,'BUKU BESAR'!D122,'JURNAL UMUM'!$G$8:$G$178)</f>
        <v>32500.0</v>
      </c>
      <c r="H128" s="253">
        <f>IF(H127+F128&gt;I127+G128,((H127+F128)-(I127+G128)),0)</f>
        <v>2392500.0</v>
      </c>
      <c r="I128" s="254">
        <f>IF(I127+G128&gt;H127+F128,((I127+G128)-(H127+F128)),0)</f>
        <v>0.0</v>
      </c>
    </row>
    <row r="129" spans="8:8">
      <c r="B129" s="255"/>
      <c r="C129" s="256"/>
      <c r="D129" s="256"/>
      <c r="E129" s="256"/>
      <c r="F129" s="257"/>
      <c r="G129" s="258"/>
      <c r="H129" s="258"/>
      <c r="I129" s="259"/>
    </row>
    <row r="130" spans="8:8">
      <c r="B130" s="260"/>
      <c r="C130" s="260"/>
      <c r="D130" s="260"/>
      <c r="E130" s="260"/>
      <c r="F130" s="260"/>
      <c r="G130" s="260"/>
      <c r="H130" s="260"/>
      <c r="I130" s="260"/>
    </row>
    <row r="131" spans="8:8">
      <c r="B131" s="229" t="s">
        <v>167</v>
      </c>
      <c r="C131" s="128"/>
      <c r="D131" s="230">
        <v>11602.0</v>
      </c>
      <c r="E131" s="128"/>
      <c r="F131" s="128"/>
      <c r="G131" s="128"/>
      <c r="H131" s="128"/>
      <c r="I131" s="188"/>
    </row>
    <row r="132" spans="8:8">
      <c r="B132" s="131" t="s">
        <v>168</v>
      </c>
      <c r="C132" s="127"/>
      <c r="D132" s="132" t="str">
        <f>VLOOKUP(D131,'Master Account'!$A$6:$E$69,2,FALSE)</f>
        <v>Uang Muka Pembelian</v>
      </c>
      <c r="E132" s="127"/>
      <c r="F132" s="132"/>
      <c r="G132" s="231"/>
      <c r="H132" s="232"/>
      <c r="I132" s="233"/>
    </row>
    <row r="133" spans="8:8">
      <c r="B133" s="163"/>
      <c r="C133" s="127"/>
      <c r="D133" s="127"/>
      <c r="E133" s="127"/>
      <c r="F133" s="127"/>
      <c r="G133" s="232"/>
      <c r="H133" s="232"/>
      <c r="I133" s="233"/>
    </row>
    <row r="134" spans="8:8">
      <c r="B134" s="234" t="s">
        <v>132</v>
      </c>
      <c r="C134" s="235" t="s">
        <v>133</v>
      </c>
      <c r="D134" s="235" t="s">
        <v>146</v>
      </c>
      <c r="E134" s="235" t="s">
        <v>135</v>
      </c>
      <c r="F134" s="235" t="s">
        <v>136</v>
      </c>
      <c r="G134" s="236" t="s">
        <v>137</v>
      </c>
      <c r="H134" s="237" t="s">
        <v>141</v>
      </c>
      <c r="I134" s="238"/>
    </row>
    <row r="135" spans="8:8">
      <c r="B135" s="239"/>
      <c r="C135" s="240"/>
      <c r="D135" s="240"/>
      <c r="E135" s="240"/>
      <c r="F135" s="240"/>
      <c r="G135" s="241"/>
      <c r="H135" s="242" t="s">
        <v>136</v>
      </c>
      <c r="I135" s="243" t="s">
        <v>137</v>
      </c>
    </row>
    <row r="136" spans="8:8">
      <c r="B136" s="244"/>
      <c r="C136" s="245"/>
      <c r="D136" s="245" t="s">
        <v>147</v>
      </c>
      <c r="E136" s="246"/>
      <c r="F136" s="246"/>
      <c r="G136" s="247"/>
      <c r="H136" s="248">
        <f>VLOOKUP(D131,'Master Account'!$A$6:$E$69,4,FALSE)</f>
        <v>0.0</v>
      </c>
      <c r="I136" s="249">
        <f>VLOOKUP(D131,'Master Account'!$A$6:$E$69,5,FALSE)</f>
        <v>0.0</v>
      </c>
    </row>
    <row r="137" spans="8:8">
      <c r="B137" s="250"/>
      <c r="C137" s="251"/>
      <c r="D137" s="251" t="s">
        <v>169</v>
      </c>
      <c r="E137" s="252"/>
      <c r="F137" s="253">
        <f>SUMIF('JURNAL UMUM'!$A$8:$G$178,'BUKU BESAR'!D131,'JURNAL UMUM'!$F$8:$F$178)</f>
        <v>6000000.0</v>
      </c>
      <c r="G137" s="253">
        <f>SUMIF('JURNAL UMUM'!$A$8:$G$178,'BUKU BESAR'!D131,'JURNAL UMUM'!$G$8:$G$178)</f>
        <v>6000000.0</v>
      </c>
      <c r="H137" s="253">
        <f>IF(H136+F137&gt;I136+G137,((H136+F137)-(I136+G137)),0)</f>
        <v>0.0</v>
      </c>
      <c r="I137" s="254">
        <f>IF(I136+G137&gt;H136+F137,((I136+G137)-(H136+F137)),0)</f>
        <v>0.0</v>
      </c>
    </row>
    <row r="138" spans="8:8">
      <c r="B138" s="255"/>
      <c r="C138" s="256"/>
      <c r="D138" s="256"/>
      <c r="E138" s="256"/>
      <c r="F138" s="257"/>
      <c r="G138" s="258"/>
      <c r="H138" s="258"/>
      <c r="I138" s="259"/>
    </row>
    <row r="140" spans="8:8">
      <c r="B140" s="229" t="s">
        <v>167</v>
      </c>
      <c r="C140" s="128"/>
      <c r="D140" s="230">
        <v>12000.0</v>
      </c>
      <c r="E140" s="128"/>
      <c r="F140" s="128"/>
      <c r="G140" s="128"/>
      <c r="H140" s="128"/>
      <c r="I140" s="188"/>
    </row>
    <row r="141" spans="8:8">
      <c r="B141" s="131" t="s">
        <v>168</v>
      </c>
      <c r="C141" s="127"/>
      <c r="D141" s="132" t="str">
        <f>VLOOKUP(D140,'Master Account'!$A$6:$E$69,2,FALSE)</f>
        <v>AKTIVA TETAP</v>
      </c>
      <c r="E141" s="127"/>
      <c r="F141" s="132"/>
      <c r="G141" s="231"/>
      <c r="H141" s="232"/>
      <c r="I141" s="233"/>
    </row>
    <row r="142" spans="8:8">
      <c r="B142" s="163"/>
      <c r="C142" s="127"/>
      <c r="D142" s="127"/>
      <c r="E142" s="127"/>
      <c r="F142" s="127"/>
      <c r="G142" s="232"/>
      <c r="H142" s="232"/>
      <c r="I142" s="233"/>
    </row>
    <row r="143" spans="8:8">
      <c r="B143" s="234" t="s">
        <v>132</v>
      </c>
      <c r="C143" s="235" t="s">
        <v>133</v>
      </c>
      <c r="D143" s="235" t="s">
        <v>146</v>
      </c>
      <c r="E143" s="235" t="s">
        <v>135</v>
      </c>
      <c r="F143" s="235" t="s">
        <v>136</v>
      </c>
      <c r="G143" s="236" t="s">
        <v>137</v>
      </c>
      <c r="H143" s="237" t="s">
        <v>141</v>
      </c>
      <c r="I143" s="238"/>
    </row>
    <row r="144" spans="8:8">
      <c r="B144" s="239"/>
      <c r="C144" s="240"/>
      <c r="D144" s="240"/>
      <c r="E144" s="240"/>
      <c r="F144" s="240"/>
      <c r="G144" s="241"/>
      <c r="H144" s="242" t="s">
        <v>136</v>
      </c>
      <c r="I144" s="243" t="s">
        <v>137</v>
      </c>
    </row>
    <row r="145" spans="8:8">
      <c r="B145" s="244"/>
      <c r="C145" s="245"/>
      <c r="D145" s="245" t="s">
        <v>147</v>
      </c>
      <c r="E145" s="246"/>
      <c r="F145" s="246"/>
      <c r="G145" s="247"/>
      <c r="H145" s="248">
        <f>VLOOKUP(D140,'Master Account'!$A$6:$E$69,4,FALSE)</f>
        <v>0.0</v>
      </c>
      <c r="I145" s="249">
        <f>VLOOKUP(D140,'Master Account'!$A$6:$E$69,5,FALSE)</f>
        <v>0.0</v>
      </c>
    </row>
    <row r="146" spans="8:8">
      <c r="B146" s="250"/>
      <c r="C146" s="251"/>
      <c r="D146" s="251" t="s">
        <v>169</v>
      </c>
      <c r="E146" s="252"/>
      <c r="F146" s="253">
        <f>SUMIF('JURNAL UMUM'!$A$8:$G$178,'BUKU BESAR'!D140,'JURNAL UMUM'!$F$8:$F$178)</f>
        <v>0.0</v>
      </c>
      <c r="G146" s="253">
        <f>SUMIF('JURNAL UMUM'!$A$8:$G$178,'BUKU BESAR'!D140,'JURNAL UMUM'!$G$8:$G$178)</f>
        <v>0.0</v>
      </c>
      <c r="H146" s="253">
        <f>IF(H145+F146&gt;I145+G146,((H145+F146)-(I145+G146)),0)</f>
        <v>0.0</v>
      </c>
      <c r="I146" s="254">
        <f>IF(I145+G146&gt;H145+F146,((I145+G146)-(H145+F146)),0)</f>
        <v>0.0</v>
      </c>
    </row>
    <row r="147" spans="8:8">
      <c r="B147" s="255"/>
      <c r="C147" s="256"/>
      <c r="D147" s="256"/>
      <c r="E147" s="256"/>
      <c r="F147" s="257"/>
      <c r="G147" s="258"/>
      <c r="H147" s="258"/>
      <c r="I147" s="259"/>
    </row>
    <row r="148" spans="8:8">
      <c r="B148" s="260"/>
      <c r="C148" s="260"/>
      <c r="D148" s="260"/>
      <c r="E148" s="260"/>
      <c r="F148" s="260"/>
      <c r="G148" s="260"/>
      <c r="H148" s="260"/>
      <c r="I148" s="260"/>
    </row>
    <row r="149" spans="8:8">
      <c r="B149" s="229" t="s">
        <v>167</v>
      </c>
      <c r="C149" s="128"/>
      <c r="D149" s="230">
        <v>12100.0</v>
      </c>
      <c r="E149" s="128"/>
      <c r="F149" s="128"/>
      <c r="G149" s="128"/>
      <c r="H149" s="128"/>
      <c r="I149" s="188"/>
    </row>
    <row r="150" spans="8:8">
      <c r="B150" s="131" t="s">
        <v>168</v>
      </c>
      <c r="C150" s="127"/>
      <c r="D150" s="132" t="str">
        <f>VLOOKUP(D149,'Master Account'!$A$6:$E$69,2,FALSE)</f>
        <v>NILAI PEMBUKUAN PERALATAN KANTOR</v>
      </c>
      <c r="E150" s="127"/>
      <c r="F150" s="132"/>
      <c r="G150" s="231"/>
      <c r="H150" s="232"/>
      <c r="I150" s="233"/>
    </row>
    <row r="151" spans="8:8">
      <c r="B151" s="163"/>
      <c r="C151" s="127"/>
      <c r="D151" s="127"/>
      <c r="E151" s="127"/>
      <c r="F151" s="127"/>
      <c r="G151" s="232"/>
      <c r="H151" s="232"/>
      <c r="I151" s="233"/>
    </row>
    <row r="152" spans="8:8">
      <c r="B152" s="234" t="s">
        <v>132</v>
      </c>
      <c r="C152" s="235" t="s">
        <v>133</v>
      </c>
      <c r="D152" s="235" t="s">
        <v>146</v>
      </c>
      <c r="E152" s="235" t="s">
        <v>135</v>
      </c>
      <c r="F152" s="235" t="s">
        <v>136</v>
      </c>
      <c r="G152" s="236" t="s">
        <v>137</v>
      </c>
      <c r="H152" s="237" t="s">
        <v>141</v>
      </c>
      <c r="I152" s="238"/>
    </row>
    <row r="153" spans="8:8">
      <c r="B153" s="239"/>
      <c r="C153" s="240"/>
      <c r="D153" s="240"/>
      <c r="E153" s="240"/>
      <c r="F153" s="240"/>
      <c r="G153" s="241"/>
      <c r="H153" s="242" t="s">
        <v>136</v>
      </c>
      <c r="I153" s="243" t="s">
        <v>137</v>
      </c>
    </row>
    <row r="154" spans="8:8">
      <c r="B154" s="244"/>
      <c r="C154" s="245"/>
      <c r="D154" s="245" t="s">
        <v>147</v>
      </c>
      <c r="E154" s="246"/>
      <c r="F154" s="246"/>
      <c r="G154" s="247"/>
      <c r="H154" s="248">
        <f>VLOOKUP(D149,'Master Account'!$A$6:$E$69,4,FALSE)</f>
        <v>0.0</v>
      </c>
      <c r="I154" s="249">
        <f>VLOOKUP(D149,'Master Account'!$A$6:$E$69,5,FALSE)</f>
        <v>0.0</v>
      </c>
    </row>
    <row r="155" spans="8:8">
      <c r="B155" s="250"/>
      <c r="C155" s="251"/>
      <c r="D155" s="251" t="s">
        <v>169</v>
      </c>
      <c r="E155" s="252"/>
      <c r="F155" s="253">
        <f>SUMIF('JURNAL UMUM'!$A$8:$G$178,'BUKU BESAR'!D149,'JURNAL UMUM'!$F$8:$F$178)</f>
        <v>0.0</v>
      </c>
      <c r="G155" s="253">
        <f>SUMIF('JURNAL UMUM'!$A$8:$G$178,'BUKU BESAR'!D149,'JURNAL UMUM'!$G$8:$G$178)</f>
        <v>0.0</v>
      </c>
      <c r="H155" s="253">
        <f>IF(H154+F155&gt;I154+G155,((H154+F155)-(I154+G155)),0)</f>
        <v>0.0</v>
      </c>
      <c r="I155" s="254">
        <f>IF(I154+G155&gt;H154+F155,((I154+G155)-(H154+F155)),0)</f>
        <v>0.0</v>
      </c>
    </row>
    <row r="156" spans="8:8">
      <c r="B156" s="255"/>
      <c r="C156" s="256"/>
      <c r="D156" s="256"/>
      <c r="E156" s="256"/>
      <c r="F156" s="257"/>
      <c r="G156" s="258"/>
      <c r="H156" s="258"/>
      <c r="I156" s="259"/>
    </row>
    <row r="157" spans="8:8">
      <c r="B157" s="260"/>
      <c r="C157" s="260"/>
      <c r="D157" s="260"/>
      <c r="E157" s="260"/>
      <c r="F157" s="260"/>
      <c r="G157" s="260"/>
      <c r="H157" s="260"/>
      <c r="I157" s="260"/>
    </row>
    <row r="158" spans="8:8">
      <c r="B158" s="229" t="s">
        <v>167</v>
      </c>
      <c r="C158" s="128"/>
      <c r="D158" s="230">
        <v>12101.0</v>
      </c>
      <c r="E158" s="128"/>
      <c r="F158" s="128"/>
      <c r="G158" s="128"/>
      <c r="H158" s="128"/>
      <c r="I158" s="188"/>
    </row>
    <row r="159" spans="8:8">
      <c r="B159" s="131" t="s">
        <v>168</v>
      </c>
      <c r="C159" s="127"/>
      <c r="D159" s="132" t="str">
        <f>VLOOKUP(D158,'Master Account'!$A$6:$E$69,2,FALSE)</f>
        <v>Peralatan Kantor</v>
      </c>
      <c r="E159" s="127"/>
      <c r="F159" s="132"/>
      <c r="G159" s="231"/>
      <c r="H159" s="232"/>
      <c r="I159" s="233"/>
    </row>
    <row r="160" spans="8:8">
      <c r="B160" s="163"/>
      <c r="C160" s="127"/>
      <c r="D160" s="127"/>
      <c r="E160" s="127"/>
      <c r="F160" s="127"/>
      <c r="G160" s="232"/>
      <c r="H160" s="232"/>
      <c r="I160" s="233"/>
    </row>
    <row r="161" spans="8:8">
      <c r="B161" s="234" t="s">
        <v>132</v>
      </c>
      <c r="C161" s="235" t="s">
        <v>133</v>
      </c>
      <c r="D161" s="235" t="s">
        <v>146</v>
      </c>
      <c r="E161" s="235" t="s">
        <v>135</v>
      </c>
      <c r="F161" s="235" t="s">
        <v>136</v>
      </c>
      <c r="G161" s="236" t="s">
        <v>137</v>
      </c>
      <c r="H161" s="237" t="s">
        <v>141</v>
      </c>
      <c r="I161" s="238"/>
    </row>
    <row r="162" spans="8:8">
      <c r="B162" s="239"/>
      <c r="C162" s="240"/>
      <c r="D162" s="240"/>
      <c r="E162" s="240"/>
      <c r="F162" s="240"/>
      <c r="G162" s="241"/>
      <c r="H162" s="242" t="s">
        <v>136</v>
      </c>
      <c r="I162" s="243" t="s">
        <v>137</v>
      </c>
    </row>
    <row r="163" spans="8:8">
      <c r="B163" s="244"/>
      <c r="C163" s="245"/>
      <c r="D163" s="245" t="s">
        <v>147</v>
      </c>
      <c r="E163" s="246"/>
      <c r="F163" s="246"/>
      <c r="G163" s="247"/>
      <c r="H163" s="248">
        <f>VLOOKUP(D158,'Master Account'!$A$6:$E$69,4,FALSE)</f>
        <v>2.5E7</v>
      </c>
      <c r="I163" s="249">
        <f>VLOOKUP(D158,'Master Account'!$A$6:$E$69,5,FALSE)</f>
        <v>0.0</v>
      </c>
    </row>
    <row r="164" spans="8:8">
      <c r="B164" s="250"/>
      <c r="C164" s="251"/>
      <c r="D164" s="251" t="s">
        <v>169</v>
      </c>
      <c r="E164" s="252"/>
      <c r="F164" s="253">
        <f>SUMIF('JURNAL UMUM'!$A$8:$G$178,'BUKU BESAR'!D158,'JURNAL UMUM'!$F$8:$F$178)</f>
        <v>0.0</v>
      </c>
      <c r="G164" s="253">
        <f>SUMIF('JURNAL UMUM'!$A$8:$G$178,'BUKU BESAR'!D158,'JURNAL UMUM'!$G$8:$G$178)</f>
        <v>0.0</v>
      </c>
      <c r="H164" s="253">
        <f>IF(H163+F164&gt;I163+G164,((H163+F164)-(I163+G164)),0)</f>
        <v>2.5E7</v>
      </c>
      <c r="I164" s="254">
        <f>IF(I163+G164&gt;H163+F164,((I163+G164)-(H163+F164)),0)</f>
        <v>0.0</v>
      </c>
    </row>
    <row r="165" spans="8:8">
      <c r="B165" s="255"/>
      <c r="C165" s="256"/>
      <c r="D165" s="256"/>
      <c r="E165" s="256"/>
      <c r="F165" s="257"/>
      <c r="G165" s="258"/>
      <c r="H165" s="258"/>
      <c r="I165" s="259"/>
    </row>
    <row r="166" spans="8:8">
      <c r="B166" s="260"/>
      <c r="C166" s="260"/>
      <c r="D166" s="260"/>
      <c r="E166" s="260"/>
      <c r="F166" s="260"/>
      <c r="G166" s="260"/>
      <c r="H166" s="260"/>
      <c r="I166" s="260"/>
    </row>
    <row r="167" spans="8:8">
      <c r="B167" s="229" t="s">
        <v>167</v>
      </c>
      <c r="C167" s="128"/>
      <c r="D167" s="230">
        <v>12102.0</v>
      </c>
      <c r="E167" s="128"/>
      <c r="F167" s="128"/>
      <c r="G167" s="128"/>
      <c r="H167" s="128"/>
      <c r="I167" s="188"/>
    </row>
    <row r="168" spans="8:8">
      <c r="B168" s="131" t="s">
        <v>168</v>
      </c>
      <c r="C168" s="127"/>
      <c r="D168" s="132" t="str">
        <f>VLOOKUP(D167,'Master Account'!$A$6:$E$69,2,FALSE)</f>
        <v>Akumulasi Penyusutan Peralatan Kantor</v>
      </c>
      <c r="E168" s="127"/>
      <c r="F168" s="132"/>
      <c r="G168" s="231"/>
      <c r="H168" s="232"/>
      <c r="I168" s="233"/>
    </row>
    <row r="169" spans="8:8">
      <c r="B169" s="163"/>
      <c r="C169" s="127"/>
      <c r="D169" s="127"/>
      <c r="E169" s="127"/>
      <c r="F169" s="127"/>
      <c r="G169" s="232"/>
      <c r="H169" s="232"/>
      <c r="I169" s="233"/>
    </row>
    <row r="170" spans="8:8">
      <c r="B170" s="234" t="s">
        <v>132</v>
      </c>
      <c r="C170" s="235" t="s">
        <v>133</v>
      </c>
      <c r="D170" s="235" t="s">
        <v>146</v>
      </c>
      <c r="E170" s="235" t="s">
        <v>135</v>
      </c>
      <c r="F170" s="235" t="s">
        <v>136</v>
      </c>
      <c r="G170" s="236" t="s">
        <v>137</v>
      </c>
      <c r="H170" s="237" t="s">
        <v>141</v>
      </c>
      <c r="I170" s="238"/>
    </row>
    <row r="171" spans="8:8">
      <c r="B171" s="239"/>
      <c r="C171" s="240"/>
      <c r="D171" s="240"/>
      <c r="E171" s="240"/>
      <c r="F171" s="240"/>
      <c r="G171" s="241"/>
      <c r="H171" s="242" t="s">
        <v>136</v>
      </c>
      <c r="I171" s="243" t="s">
        <v>137</v>
      </c>
    </row>
    <row r="172" spans="8:8">
      <c r="B172" s="244"/>
      <c r="C172" s="245"/>
      <c r="D172" s="245" t="s">
        <v>147</v>
      </c>
      <c r="E172" s="246"/>
      <c r="F172" s="246"/>
      <c r="G172" s="247"/>
      <c r="H172" s="248">
        <f>VLOOKUP(D167,'Master Account'!$A$6:$E$69,4,FALSE)</f>
        <v>0.0</v>
      </c>
      <c r="I172" s="249">
        <f>VLOOKUP(D167,'Master Account'!$A$6:$E$69,5,FALSE)</f>
        <v>7500000.0</v>
      </c>
    </row>
    <row r="173" spans="8:8">
      <c r="B173" s="250"/>
      <c r="C173" s="251"/>
      <c r="D173" s="251" t="s">
        <v>169</v>
      </c>
      <c r="E173" s="252"/>
      <c r="F173" s="253">
        <f>SUMIF('JURNAL UMUM'!$A$8:$G$178,'BUKU BESAR'!D167,'JURNAL UMUM'!$F$8:$F$178)</f>
        <v>0.0</v>
      </c>
      <c r="G173" s="253">
        <f>SUMIF('JURNAL UMUM'!$A$8:$G$178,'BUKU BESAR'!D167,'JURNAL UMUM'!$G$8:$G$178)</f>
        <v>400000.0</v>
      </c>
      <c r="H173" s="253">
        <f>IF(H172+F173&gt;I172+G173,((H172+F173)-(I172+G173)),0)</f>
        <v>0.0</v>
      </c>
      <c r="I173" s="254">
        <f>IF(I172+G173&gt;H172+F173,((I172+G173)-(H172+F173)),0)</f>
        <v>7900000.0</v>
      </c>
    </row>
    <row r="174" spans="8:8">
      <c r="B174" s="255"/>
      <c r="C174" s="256"/>
      <c r="D174" s="256"/>
      <c r="E174" s="256"/>
      <c r="F174" s="257"/>
      <c r="G174" s="258"/>
      <c r="H174" s="258"/>
      <c r="I174" s="259"/>
    </row>
    <row r="175" spans="8:8">
      <c r="B175" s="260"/>
      <c r="C175" s="260"/>
      <c r="D175" s="260"/>
      <c r="E175" s="260"/>
      <c r="F175" s="260"/>
      <c r="G175" s="260"/>
      <c r="H175" s="260"/>
      <c r="I175" s="260"/>
    </row>
    <row r="176" spans="8:8">
      <c r="B176" s="229" t="s">
        <v>167</v>
      </c>
      <c r="C176" s="128"/>
      <c r="D176" s="230">
        <v>12200.0</v>
      </c>
      <c r="E176" s="128"/>
      <c r="F176" s="128"/>
      <c r="G176" s="128"/>
      <c r="H176" s="128"/>
      <c r="I176" s="188"/>
    </row>
    <row r="177" spans="8:8">
      <c r="B177" s="131" t="s">
        <v>168</v>
      </c>
      <c r="C177" s="127"/>
      <c r="D177" s="132" t="str">
        <f>VLOOKUP(D176,'Master Account'!$A$6:$E$69,2,FALSE)</f>
        <v>NILAI BUKU KENDARAAN</v>
      </c>
      <c r="E177" s="127"/>
      <c r="F177" s="132"/>
      <c r="G177" s="231"/>
      <c r="H177" s="232"/>
      <c r="I177" s="233"/>
    </row>
    <row r="178" spans="8:8">
      <c r="B178" s="163"/>
      <c r="C178" s="127"/>
      <c r="D178" s="127"/>
      <c r="E178" s="127"/>
      <c r="F178" s="127"/>
      <c r="G178" s="232"/>
      <c r="H178" s="232"/>
      <c r="I178" s="233"/>
    </row>
    <row r="179" spans="8:8">
      <c r="B179" s="234" t="s">
        <v>132</v>
      </c>
      <c r="C179" s="235" t="s">
        <v>133</v>
      </c>
      <c r="D179" s="235" t="s">
        <v>146</v>
      </c>
      <c r="E179" s="235" t="s">
        <v>135</v>
      </c>
      <c r="F179" s="235" t="s">
        <v>136</v>
      </c>
      <c r="G179" s="236" t="s">
        <v>137</v>
      </c>
      <c r="H179" s="237" t="s">
        <v>141</v>
      </c>
      <c r="I179" s="238"/>
    </row>
    <row r="180" spans="8:8">
      <c r="B180" s="239"/>
      <c r="C180" s="240"/>
      <c r="D180" s="240"/>
      <c r="E180" s="240"/>
      <c r="F180" s="240"/>
      <c r="G180" s="241"/>
      <c r="H180" s="242" t="s">
        <v>136</v>
      </c>
      <c r="I180" s="243" t="s">
        <v>137</v>
      </c>
    </row>
    <row r="181" spans="8:8">
      <c r="B181" s="244"/>
      <c r="C181" s="245"/>
      <c r="D181" s="245" t="s">
        <v>147</v>
      </c>
      <c r="E181" s="246"/>
      <c r="F181" s="246"/>
      <c r="G181" s="247"/>
      <c r="H181" s="248">
        <f>VLOOKUP(D176,'Master Account'!$A$6:$E$69,4,FALSE)</f>
        <v>0.0</v>
      </c>
      <c r="I181" s="249">
        <f>VLOOKUP(D176,'Master Account'!$A$6:$E$69,5,FALSE)</f>
        <v>0.0</v>
      </c>
    </row>
    <row r="182" spans="8:8">
      <c r="B182" s="250"/>
      <c r="C182" s="251"/>
      <c r="D182" s="251" t="s">
        <v>169</v>
      </c>
      <c r="E182" s="252"/>
      <c r="F182" s="253">
        <f>SUMIF('JURNAL UMUM'!$A$8:$G$178,'BUKU BESAR'!D176,'JURNAL UMUM'!$F$8:$F$178)</f>
        <v>0.0</v>
      </c>
      <c r="G182" s="253">
        <f>SUMIF('JURNAL UMUM'!$A$8:$G$178,'BUKU BESAR'!D176,'JURNAL UMUM'!$G$8:$G$178)</f>
        <v>0.0</v>
      </c>
      <c r="H182" s="253">
        <f>IF(H181+F182&gt;I181+G182,((H181+F182)-(I181+G182)),0)</f>
        <v>0.0</v>
      </c>
      <c r="I182" s="254">
        <f>IF(I181+G182&gt;H181+F182,((I181+G182)-(H181+F182)),0)</f>
        <v>0.0</v>
      </c>
    </row>
    <row r="183" spans="8:8">
      <c r="B183" s="255"/>
      <c r="C183" s="256"/>
      <c r="D183" s="256"/>
      <c r="E183" s="256"/>
      <c r="F183" s="257"/>
      <c r="G183" s="258"/>
      <c r="H183" s="258"/>
      <c r="I183" s="259"/>
    </row>
    <row r="185" spans="8:8">
      <c r="B185" s="229" t="s">
        <v>167</v>
      </c>
      <c r="C185" s="128"/>
      <c r="D185" s="230">
        <v>12201.0</v>
      </c>
      <c r="E185" s="128"/>
      <c r="F185" s="128"/>
      <c r="G185" s="128"/>
      <c r="H185" s="128"/>
      <c r="I185" s="188"/>
    </row>
    <row r="186" spans="8:8">
      <c r="B186" s="131" t="s">
        <v>168</v>
      </c>
      <c r="C186" s="127"/>
      <c r="D186" s="132" t="str">
        <f>VLOOKUP(D185,'Master Account'!$A$6:$E$69,2,FALSE)</f>
        <v>Kendaraan</v>
      </c>
      <c r="E186" s="127"/>
      <c r="F186" s="132"/>
      <c r="G186" s="231"/>
      <c r="H186" s="232"/>
      <c r="I186" s="233"/>
    </row>
    <row r="187" spans="8:8">
      <c r="B187" s="163"/>
      <c r="C187" s="127"/>
      <c r="D187" s="127"/>
      <c r="E187" s="127"/>
      <c r="F187" s="127"/>
      <c r="G187" s="232"/>
      <c r="H187" s="232"/>
      <c r="I187" s="233"/>
    </row>
    <row r="188" spans="8:8">
      <c r="B188" s="234" t="s">
        <v>132</v>
      </c>
      <c r="C188" s="235" t="s">
        <v>133</v>
      </c>
      <c r="D188" s="235" t="s">
        <v>146</v>
      </c>
      <c r="E188" s="235" t="s">
        <v>135</v>
      </c>
      <c r="F188" s="235" t="s">
        <v>136</v>
      </c>
      <c r="G188" s="236" t="s">
        <v>137</v>
      </c>
      <c r="H188" s="237" t="s">
        <v>141</v>
      </c>
      <c r="I188" s="238"/>
    </row>
    <row r="189" spans="8:8">
      <c r="B189" s="239"/>
      <c r="C189" s="240"/>
      <c r="D189" s="240"/>
      <c r="E189" s="240"/>
      <c r="F189" s="240"/>
      <c r="G189" s="241"/>
      <c r="H189" s="242" t="s">
        <v>136</v>
      </c>
      <c r="I189" s="243" t="s">
        <v>137</v>
      </c>
    </row>
    <row r="190" spans="8:8">
      <c r="B190" s="244"/>
      <c r="C190" s="245"/>
      <c r="D190" s="245" t="s">
        <v>147</v>
      </c>
      <c r="E190" s="246"/>
      <c r="F190" s="246"/>
      <c r="G190" s="247"/>
      <c r="H190" s="248">
        <f>VLOOKUP(D185,'Master Account'!$A$6:$E$69,4,FALSE)</f>
        <v>4.5E7</v>
      </c>
      <c r="I190" s="249">
        <f>VLOOKUP(D185,'Master Account'!$A$6:$E$69,5,FALSE)</f>
        <v>0.0</v>
      </c>
    </row>
    <row r="191" spans="8:8">
      <c r="B191" s="250"/>
      <c r="C191" s="251"/>
      <c r="D191" s="251" t="s">
        <v>169</v>
      </c>
      <c r="E191" s="252"/>
      <c r="F191" s="253">
        <f>SUMIF('JURNAL UMUM'!$A$8:$G$178,'BUKU BESAR'!D185,'JURNAL UMUM'!$F$8:$F$178)</f>
        <v>1.15E7</v>
      </c>
      <c r="G191" s="253">
        <f>SUMIF('JURNAL UMUM'!$A$8:$G$178,'BUKU BESAR'!D185,'JURNAL UMUM'!$G$8:$G$178)</f>
        <v>6000000.0</v>
      </c>
      <c r="H191" s="253">
        <f>IF(H190+F191&gt;I190+G191,((H190+F191)-(I190+G191)),0)</f>
        <v>5.05E7</v>
      </c>
      <c r="I191" s="254">
        <f>IF(I190+G191&gt;H190+F191,((I190+G191)-(H190+F191)),0)</f>
        <v>0.0</v>
      </c>
    </row>
    <row r="192" spans="8:8">
      <c r="B192" s="255"/>
      <c r="C192" s="256"/>
      <c r="D192" s="256"/>
      <c r="E192" s="256"/>
      <c r="F192" s="257"/>
      <c r="G192" s="258"/>
      <c r="H192" s="258"/>
      <c r="I192" s="259"/>
    </row>
    <row r="193" spans="8:8">
      <c r="B193" s="260"/>
      <c r="C193" s="260"/>
      <c r="D193" s="260"/>
      <c r="E193" s="260"/>
      <c r="F193" s="260"/>
      <c r="G193" s="260"/>
      <c r="H193" s="260"/>
      <c r="I193" s="260"/>
    </row>
    <row r="194" spans="8:8">
      <c r="B194" s="229" t="s">
        <v>167</v>
      </c>
      <c r="C194" s="128"/>
      <c r="D194" s="230">
        <v>12202.0</v>
      </c>
      <c r="E194" s="128"/>
      <c r="F194" s="128"/>
      <c r="G194" s="128"/>
      <c r="H194" s="128"/>
      <c r="I194" s="188"/>
    </row>
    <row r="195" spans="8:8">
      <c r="B195" s="131" t="s">
        <v>168</v>
      </c>
      <c r="C195" s="127"/>
      <c r="D195" s="132" t="str">
        <f>VLOOKUP(D194,'Master Account'!$A$6:$E$69,2,FALSE)</f>
        <v>Akumulasi Penyusutan Kendaraan</v>
      </c>
      <c r="E195" s="127"/>
      <c r="F195" s="132"/>
      <c r="G195" s="231"/>
      <c r="H195" s="232"/>
      <c r="I195" s="233"/>
    </row>
    <row r="196" spans="8:8">
      <c r="B196" s="163"/>
      <c r="C196" s="127"/>
      <c r="D196" s="127"/>
      <c r="E196" s="127"/>
      <c r="F196" s="127"/>
      <c r="G196" s="232"/>
      <c r="H196" s="232"/>
      <c r="I196" s="233"/>
    </row>
    <row r="197" spans="8:8">
      <c r="B197" s="234" t="s">
        <v>132</v>
      </c>
      <c r="C197" s="235" t="s">
        <v>133</v>
      </c>
      <c r="D197" s="235" t="s">
        <v>146</v>
      </c>
      <c r="E197" s="235" t="s">
        <v>135</v>
      </c>
      <c r="F197" s="235" t="s">
        <v>136</v>
      </c>
      <c r="G197" s="236" t="s">
        <v>137</v>
      </c>
      <c r="H197" s="237" t="s">
        <v>141</v>
      </c>
      <c r="I197" s="238"/>
    </row>
    <row r="198" spans="8:8">
      <c r="B198" s="239"/>
      <c r="C198" s="240"/>
      <c r="D198" s="240"/>
      <c r="E198" s="240"/>
      <c r="F198" s="240"/>
      <c r="G198" s="241"/>
      <c r="H198" s="242" t="s">
        <v>136</v>
      </c>
      <c r="I198" s="243" t="s">
        <v>137</v>
      </c>
    </row>
    <row r="199" spans="8:8">
      <c r="B199" s="244"/>
      <c r="C199" s="245"/>
      <c r="D199" s="245" t="s">
        <v>147</v>
      </c>
      <c r="E199" s="246"/>
      <c r="F199" s="246"/>
      <c r="G199" s="247"/>
      <c r="H199" s="248">
        <f>VLOOKUP(D194,'Master Account'!$A$6:$E$69,4,FALSE)</f>
        <v>0.0</v>
      </c>
      <c r="I199" s="249">
        <f>VLOOKUP(D194,'Master Account'!$A$6:$E$69,5,FALSE)</f>
        <v>2.5E7</v>
      </c>
    </row>
    <row r="200" spans="8:8">
      <c r="B200" s="250"/>
      <c r="C200" s="251"/>
      <c r="D200" s="251" t="s">
        <v>169</v>
      </c>
      <c r="E200" s="252"/>
      <c r="F200" s="253">
        <f>SUMIF('JURNAL UMUM'!$A$8:$G$178,'BUKU BESAR'!D194,'JURNAL UMUM'!$F$8:$F$178)</f>
        <v>1500000.0</v>
      </c>
      <c r="G200" s="253">
        <f>SUMIF('JURNAL UMUM'!$A$8:$G$178,'BUKU BESAR'!D194,'JURNAL UMUM'!$G$8:$G$178)</f>
        <v>500000.0</v>
      </c>
      <c r="H200" s="253">
        <f>IF(H199+F200&gt;I199+G200,((H199+F200)-(I199+G200)),0)</f>
        <v>0.0</v>
      </c>
      <c r="I200" s="254">
        <f>IF(I199+G200&gt;H199+F200,((I199+G200)-(H199+F200)),0)</f>
        <v>2.4E7</v>
      </c>
    </row>
    <row r="201" spans="8:8">
      <c r="B201" s="255"/>
      <c r="C201" s="256"/>
      <c r="D201" s="256"/>
      <c r="E201" s="256"/>
      <c r="F201" s="257"/>
      <c r="G201" s="258"/>
      <c r="H201" s="258"/>
      <c r="I201" s="259"/>
    </row>
    <row r="202" spans="8:8">
      <c r="B202" s="260"/>
      <c r="C202" s="260"/>
      <c r="D202" s="260"/>
      <c r="E202" s="260"/>
      <c r="F202" s="260"/>
      <c r="G202" s="260"/>
      <c r="H202" s="260"/>
      <c r="I202" s="260"/>
    </row>
    <row r="203" spans="8:8">
      <c r="B203" s="229" t="s">
        <v>167</v>
      </c>
      <c r="C203" s="128"/>
      <c r="D203" s="261">
        <v>20000.0</v>
      </c>
      <c r="E203" s="128"/>
      <c r="F203" s="128"/>
      <c r="G203" s="128"/>
      <c r="H203" s="128"/>
      <c r="I203" s="188"/>
    </row>
    <row r="204" spans="8:8">
      <c r="B204" s="131" t="s">
        <v>168</v>
      </c>
      <c r="C204" s="127"/>
      <c r="D204" s="132" t="str">
        <f>VLOOKUP(D203,'Master Account'!$A$6:$E$69,2,FALSE)</f>
        <v>KEWAJIBAN</v>
      </c>
      <c r="E204" s="127"/>
      <c r="F204" s="132"/>
      <c r="G204" s="231"/>
      <c r="H204" s="232"/>
      <c r="I204" s="233"/>
    </row>
    <row r="205" spans="8:8">
      <c r="B205" s="163"/>
      <c r="C205" s="127"/>
      <c r="D205" s="127"/>
      <c r="E205" s="127"/>
      <c r="F205" s="127"/>
      <c r="G205" s="232"/>
      <c r="H205" s="232"/>
      <c r="I205" s="233"/>
    </row>
    <row r="206" spans="8:8">
      <c r="B206" s="234" t="s">
        <v>132</v>
      </c>
      <c r="C206" s="235" t="s">
        <v>133</v>
      </c>
      <c r="D206" s="235" t="s">
        <v>146</v>
      </c>
      <c r="E206" s="235" t="s">
        <v>135</v>
      </c>
      <c r="F206" s="235" t="s">
        <v>136</v>
      </c>
      <c r="G206" s="236" t="s">
        <v>137</v>
      </c>
      <c r="H206" s="237" t="s">
        <v>141</v>
      </c>
      <c r="I206" s="238"/>
    </row>
    <row r="207" spans="8:8">
      <c r="B207" s="239"/>
      <c r="C207" s="240"/>
      <c r="D207" s="240"/>
      <c r="E207" s="240"/>
      <c r="F207" s="240"/>
      <c r="G207" s="241"/>
      <c r="H207" s="242" t="s">
        <v>136</v>
      </c>
      <c r="I207" s="243" t="s">
        <v>137</v>
      </c>
    </row>
    <row r="208" spans="8:8">
      <c r="B208" s="244"/>
      <c r="C208" s="245"/>
      <c r="D208" s="245" t="s">
        <v>147</v>
      </c>
      <c r="E208" s="246"/>
      <c r="F208" s="246"/>
      <c r="G208" s="247"/>
      <c r="H208" s="248">
        <f>VLOOKUP(D203,'Master Account'!$A$6:$E$69,4,FALSE)</f>
        <v>0.0</v>
      </c>
      <c r="I208" s="249">
        <f>VLOOKUP(D203,'Master Account'!$A$6:$E$69,5,FALSE)</f>
        <v>0.0</v>
      </c>
    </row>
    <row r="209" spans="8:8">
      <c r="B209" s="250"/>
      <c r="C209" s="251"/>
      <c r="D209" s="251" t="s">
        <v>169</v>
      </c>
      <c r="E209" s="252"/>
      <c r="F209" s="253">
        <f>SUMIF('JURNAL UMUM'!$A$8:$G$178,'BUKU BESAR'!D203,'JURNAL UMUM'!$F$8:$F$178)</f>
        <v>0.0</v>
      </c>
      <c r="G209" s="253">
        <f>SUMIF('JURNAL UMUM'!$A$8:$G$178,'BUKU BESAR'!D203,'JURNAL UMUM'!$G$8:$G$178)</f>
        <v>0.0</v>
      </c>
      <c r="H209" s="253">
        <f>IF(H208+F209&gt;I208+G209,((H208+F209)-(I208+G209)),0)</f>
        <v>0.0</v>
      </c>
      <c r="I209" s="254">
        <f>IF(I208+G209&gt;H208+F209,((I208+G209)-(H208+F209)),0)</f>
        <v>0.0</v>
      </c>
    </row>
    <row r="210" spans="8:8">
      <c r="B210" s="255"/>
      <c r="C210" s="256"/>
      <c r="D210" s="256"/>
      <c r="E210" s="256"/>
      <c r="F210" s="257"/>
      <c r="G210" s="258"/>
      <c r="H210" s="258"/>
      <c r="I210" s="259"/>
    </row>
    <row r="211" spans="8:8">
      <c r="B211" s="260"/>
      <c r="C211" s="260"/>
      <c r="D211" s="260"/>
      <c r="E211" s="260"/>
      <c r="F211" s="260"/>
      <c r="G211" s="260"/>
      <c r="H211" s="260"/>
      <c r="I211" s="260"/>
    </row>
    <row r="212" spans="8:8">
      <c r="B212" s="229" t="s">
        <v>167</v>
      </c>
      <c r="C212" s="128"/>
      <c r="D212" s="230">
        <v>21000.0</v>
      </c>
      <c r="E212" s="128"/>
      <c r="F212" s="128"/>
      <c r="G212" s="128"/>
      <c r="H212" s="128"/>
      <c r="I212" s="188"/>
    </row>
    <row r="213" spans="8:8">
      <c r="B213" s="131" t="s">
        <v>168</v>
      </c>
      <c r="C213" s="127"/>
      <c r="D213" s="132" t="str">
        <f>VLOOKUP(D212,'Master Account'!$A$6:$E$69,2,FALSE)</f>
        <v>KEWAJIBAN LANCAR</v>
      </c>
      <c r="E213" s="127"/>
      <c r="F213" s="132"/>
      <c r="G213" s="231"/>
      <c r="H213" s="232"/>
      <c r="I213" s="233"/>
    </row>
    <row r="214" spans="8:8">
      <c r="B214" s="163"/>
      <c r="C214" s="127"/>
      <c r="D214" s="127"/>
      <c r="E214" s="127"/>
      <c r="F214" s="127"/>
      <c r="G214" s="232"/>
      <c r="H214" s="232"/>
      <c r="I214" s="233"/>
    </row>
    <row r="215" spans="8:8">
      <c r="B215" s="234" t="s">
        <v>132</v>
      </c>
      <c r="C215" s="235" t="s">
        <v>133</v>
      </c>
      <c r="D215" s="235" t="s">
        <v>146</v>
      </c>
      <c r="E215" s="235" t="s">
        <v>135</v>
      </c>
      <c r="F215" s="235" t="s">
        <v>136</v>
      </c>
      <c r="G215" s="236" t="s">
        <v>137</v>
      </c>
      <c r="H215" s="237" t="s">
        <v>141</v>
      </c>
      <c r="I215" s="238"/>
    </row>
    <row r="216" spans="8:8">
      <c r="B216" s="239"/>
      <c r="C216" s="240"/>
      <c r="D216" s="240"/>
      <c r="E216" s="240"/>
      <c r="F216" s="240"/>
      <c r="G216" s="241"/>
      <c r="H216" s="242" t="s">
        <v>136</v>
      </c>
      <c r="I216" s="243" t="s">
        <v>137</v>
      </c>
    </row>
    <row r="217" spans="8:8">
      <c r="B217" s="244"/>
      <c r="C217" s="245"/>
      <c r="D217" s="245" t="s">
        <v>147</v>
      </c>
      <c r="E217" s="246"/>
      <c r="F217" s="246"/>
      <c r="G217" s="247"/>
      <c r="H217" s="248">
        <f>VLOOKUP(D212,'Master Account'!$A$6:$E$69,4,FALSE)</f>
        <v>0.0</v>
      </c>
      <c r="I217" s="249">
        <f>VLOOKUP(D212,'Master Account'!$A$6:$E$69,5,FALSE)</f>
        <v>0.0</v>
      </c>
    </row>
    <row r="218" spans="8:8">
      <c r="B218" s="250"/>
      <c r="C218" s="251"/>
      <c r="D218" s="251" t="s">
        <v>169</v>
      </c>
      <c r="E218" s="252"/>
      <c r="F218" s="253">
        <f>SUMIF('JURNAL UMUM'!$A$8:$G$178,'BUKU BESAR'!D212,'JURNAL UMUM'!$F$8:$F$178)</f>
        <v>0.0</v>
      </c>
      <c r="G218" s="253">
        <f>SUMIF('JURNAL UMUM'!$A$8:$G$178,'BUKU BESAR'!D212,'JURNAL UMUM'!$G$8:$G$178)</f>
        <v>0.0</v>
      </c>
      <c r="H218" s="253">
        <f>IF(H217+F218&gt;I217+G218,((H217+F218)-(I217+G218)),0)</f>
        <v>0.0</v>
      </c>
      <c r="I218" s="254">
        <f>IF(I217+G218&gt;H217+F218,((I217+G218)-(H217+F218)),0)</f>
        <v>0.0</v>
      </c>
    </row>
    <row r="219" spans="8:8">
      <c r="B219" s="255"/>
      <c r="C219" s="256"/>
      <c r="D219" s="256"/>
      <c r="E219" s="256"/>
      <c r="F219" s="257"/>
      <c r="G219" s="258"/>
      <c r="H219" s="258"/>
      <c r="I219" s="259"/>
    </row>
    <row r="220" spans="8:8">
      <c r="B220" s="260"/>
      <c r="C220" s="260"/>
      <c r="D220" s="260"/>
      <c r="E220" s="260"/>
      <c r="F220" s="260"/>
      <c r="G220" s="260"/>
      <c r="H220" s="260"/>
      <c r="I220" s="260"/>
    </row>
    <row r="221" spans="8:8">
      <c r="B221" s="229" t="s">
        <v>167</v>
      </c>
      <c r="C221" s="128"/>
      <c r="D221" s="230">
        <v>21100.0</v>
      </c>
      <c r="E221" s="128"/>
      <c r="F221" s="128"/>
      <c r="G221" s="128"/>
      <c r="H221" s="128"/>
      <c r="I221" s="188"/>
    </row>
    <row r="222" spans="8:8">
      <c r="B222" s="131" t="s">
        <v>168</v>
      </c>
      <c r="C222" s="127"/>
      <c r="D222" s="132" t="str">
        <f>VLOOKUP(D221,'Master Account'!$A$6:$E$69,2,FALSE)</f>
        <v>Hutang Usaha</v>
      </c>
      <c r="E222" s="127"/>
      <c r="F222" s="132"/>
      <c r="G222" s="231"/>
      <c r="H222" s="232"/>
      <c r="I222" s="233"/>
    </row>
    <row r="223" spans="8:8">
      <c r="B223" s="163"/>
      <c r="C223" s="127"/>
      <c r="D223" s="127"/>
      <c r="E223" s="127"/>
      <c r="F223" s="127"/>
      <c r="G223" s="232"/>
      <c r="H223" s="232"/>
      <c r="I223" s="233"/>
    </row>
    <row r="224" spans="8:8">
      <c r="B224" s="234" t="s">
        <v>132</v>
      </c>
      <c r="C224" s="235" t="s">
        <v>133</v>
      </c>
      <c r="D224" s="235" t="s">
        <v>146</v>
      </c>
      <c r="E224" s="235" t="s">
        <v>135</v>
      </c>
      <c r="F224" s="235" t="s">
        <v>136</v>
      </c>
      <c r="G224" s="236" t="s">
        <v>137</v>
      </c>
      <c r="H224" s="237" t="s">
        <v>141</v>
      </c>
      <c r="I224" s="238"/>
    </row>
    <row r="225" spans="8:8">
      <c r="B225" s="239"/>
      <c r="C225" s="240"/>
      <c r="D225" s="240"/>
      <c r="E225" s="240"/>
      <c r="F225" s="240"/>
      <c r="G225" s="241"/>
      <c r="H225" s="242" t="s">
        <v>136</v>
      </c>
      <c r="I225" s="243" t="s">
        <v>137</v>
      </c>
    </row>
    <row r="226" spans="8:8">
      <c r="B226" s="244"/>
      <c r="C226" s="245"/>
      <c r="D226" s="245" t="s">
        <v>147</v>
      </c>
      <c r="E226" s="246"/>
      <c r="F226" s="246"/>
      <c r="G226" s="247"/>
      <c r="H226" s="248">
        <f>VLOOKUP(D221,'Master Account'!$A$6:$E$69,4,FALSE)</f>
        <v>0.0</v>
      </c>
      <c r="I226" s="249">
        <f>VLOOKUP(D221,'Master Account'!$A$6:$E$69,5,FALSE)</f>
        <v>7.5E7</v>
      </c>
    </row>
    <row r="227" spans="8:8">
      <c r="B227" s="250"/>
      <c r="C227" s="251"/>
      <c r="D227" s="251" t="s">
        <v>169</v>
      </c>
      <c r="E227" s="252"/>
      <c r="F227" s="253">
        <f>SUMIF('JURNAL UMUM'!$A$8:$G$178,'BUKU BESAR'!D221,'JURNAL UMUM'!$F$8:$F$178)</f>
        <v>4.63575E7</v>
      </c>
      <c r="G227" s="253">
        <f>SUMIF('JURNAL UMUM'!$A$8:$G$178,'BUKU BESAR'!D221,'JURNAL UMUM'!$G$8:$G$178)</f>
        <v>1.7925E7</v>
      </c>
      <c r="H227" s="253">
        <f>IF(H226+F227&gt;I226+G227,((H226+F227)-(I226+G227)),0)</f>
        <v>0.0</v>
      </c>
      <c r="I227" s="254">
        <f>IF(I226+G227&gt;H226+F227,((I226+G227)-(H226+F227)),0)</f>
        <v>4.65675E7</v>
      </c>
    </row>
    <row r="228" spans="8:8">
      <c r="B228" s="255"/>
      <c r="C228" s="256"/>
      <c r="D228" s="256"/>
      <c r="E228" s="256"/>
      <c r="F228" s="257"/>
      <c r="G228" s="258"/>
      <c r="H228" s="258"/>
      <c r="I228" s="259"/>
    </row>
    <row r="230" spans="8:8">
      <c r="B230" s="229" t="s">
        <v>167</v>
      </c>
      <c r="C230" s="128"/>
      <c r="D230" s="230">
        <v>21200.0</v>
      </c>
      <c r="E230" s="128"/>
      <c r="F230" s="128"/>
      <c r="G230" s="128"/>
      <c r="H230" s="128"/>
      <c r="I230" s="188"/>
    </row>
    <row r="231" spans="8:8">
      <c r="B231" s="131" t="s">
        <v>168</v>
      </c>
      <c r="C231" s="127"/>
      <c r="D231" s="132" t="str">
        <f>VLOOKUP(D230,'Master Account'!$A$6:$E$69,2,FALSE)</f>
        <v>Pendapatan Diterima Dimuka-Jasa Kirim</v>
      </c>
      <c r="E231" s="127"/>
      <c r="F231" s="132"/>
      <c r="G231" s="231"/>
      <c r="H231" s="232"/>
      <c r="I231" s="233"/>
    </row>
    <row r="232" spans="8:8">
      <c r="B232" s="163"/>
      <c r="C232" s="127"/>
      <c r="D232" s="127"/>
      <c r="E232" s="127"/>
      <c r="F232" s="127"/>
      <c r="G232" s="232"/>
      <c r="H232" s="232"/>
      <c r="I232" s="233"/>
    </row>
    <row r="233" spans="8:8">
      <c r="B233" s="234" t="s">
        <v>132</v>
      </c>
      <c r="C233" s="235" t="s">
        <v>133</v>
      </c>
      <c r="D233" s="235" t="s">
        <v>146</v>
      </c>
      <c r="E233" s="235" t="s">
        <v>135</v>
      </c>
      <c r="F233" s="235" t="s">
        <v>136</v>
      </c>
      <c r="G233" s="236" t="s">
        <v>137</v>
      </c>
      <c r="H233" s="237" t="s">
        <v>141</v>
      </c>
      <c r="I233" s="238"/>
    </row>
    <row r="234" spans="8:8">
      <c r="B234" s="239"/>
      <c r="C234" s="240"/>
      <c r="D234" s="240"/>
      <c r="E234" s="240"/>
      <c r="F234" s="240"/>
      <c r="G234" s="241"/>
      <c r="H234" s="242" t="s">
        <v>136</v>
      </c>
      <c r="I234" s="243" t="s">
        <v>137</v>
      </c>
    </row>
    <row r="235" spans="8:8">
      <c r="B235" s="244"/>
      <c r="C235" s="245"/>
      <c r="D235" s="245" t="s">
        <v>147</v>
      </c>
      <c r="E235" s="246"/>
      <c r="F235" s="246"/>
      <c r="G235" s="247"/>
      <c r="H235" s="248">
        <f>VLOOKUP(D230,'Master Account'!$A$6:$E$69,4,FALSE)</f>
        <v>0.0</v>
      </c>
      <c r="I235" s="249">
        <f>VLOOKUP(D230,'Master Account'!$A$6:$E$69,5,FALSE)</f>
        <v>0.0</v>
      </c>
    </row>
    <row r="236" spans="8:8">
      <c r="B236" s="250"/>
      <c r="C236" s="251"/>
      <c r="D236" s="251" t="s">
        <v>169</v>
      </c>
      <c r="E236" s="252"/>
      <c r="F236" s="253">
        <f>SUMIF('JURNAL UMUM'!$A$8:$G$178,'BUKU BESAR'!D230,'JURNAL UMUM'!$F$8:$F$178)</f>
        <v>0.0</v>
      </c>
      <c r="G236" s="253">
        <f>SUMIF('JURNAL UMUM'!$A$8:$G$178,'BUKU BESAR'!D230,'JURNAL UMUM'!$G$8:$G$178)</f>
        <v>200000.0</v>
      </c>
      <c r="H236" s="253">
        <f>IF(H235+F236&gt;I235+G236,((H235+F236)-(I235+G236)),0)</f>
        <v>0.0</v>
      </c>
      <c r="I236" s="254">
        <f>IF(I235+G236&gt;H235+F236,((I235+G236)-(H235+F236)),0)</f>
        <v>200000.0</v>
      </c>
    </row>
    <row r="237" spans="8:8">
      <c r="B237" s="255"/>
      <c r="C237" s="256"/>
      <c r="D237" s="256"/>
      <c r="E237" s="256"/>
      <c r="F237" s="257"/>
      <c r="G237" s="258"/>
      <c r="H237" s="258"/>
      <c r="I237" s="259"/>
    </row>
    <row r="238" spans="8:8">
      <c r="B238" s="260"/>
      <c r="C238" s="260"/>
      <c r="D238" s="260"/>
      <c r="E238" s="260"/>
      <c r="F238" s="260"/>
      <c r="G238" s="260"/>
      <c r="H238" s="260"/>
      <c r="I238" s="260"/>
    </row>
    <row r="239" spans="8:8">
      <c r="B239" s="229" t="s">
        <v>167</v>
      </c>
      <c r="C239" s="128"/>
      <c r="D239" s="230">
        <v>21300.0</v>
      </c>
      <c r="E239" s="128"/>
      <c r="F239" s="128"/>
      <c r="G239" s="128"/>
      <c r="H239" s="128"/>
      <c r="I239" s="188"/>
    </row>
    <row r="240" spans="8:8">
      <c r="B240" s="131" t="s">
        <v>168</v>
      </c>
      <c r="C240" s="127"/>
      <c r="D240" s="132" t="str">
        <f>VLOOKUP(D239,'Master Account'!$A$6:$E$69,2,FALSE)</f>
        <v>Hutang Bunga</v>
      </c>
      <c r="E240" s="127"/>
      <c r="F240" s="132"/>
      <c r="G240" s="231"/>
      <c r="H240" s="232"/>
      <c r="I240" s="233"/>
    </row>
    <row r="241" spans="8:8">
      <c r="B241" s="163"/>
      <c r="C241" s="127"/>
      <c r="D241" s="127"/>
      <c r="E241" s="127"/>
      <c r="F241" s="127"/>
      <c r="G241" s="232"/>
      <c r="H241" s="232"/>
      <c r="I241" s="233"/>
    </row>
    <row r="242" spans="8:8">
      <c r="B242" s="234" t="s">
        <v>132</v>
      </c>
      <c r="C242" s="235" t="s">
        <v>133</v>
      </c>
      <c r="D242" s="235" t="s">
        <v>146</v>
      </c>
      <c r="E242" s="235" t="s">
        <v>135</v>
      </c>
      <c r="F242" s="235" t="s">
        <v>136</v>
      </c>
      <c r="G242" s="236" t="s">
        <v>137</v>
      </c>
      <c r="H242" s="237" t="s">
        <v>141</v>
      </c>
      <c r="I242" s="238"/>
    </row>
    <row r="243" spans="8:8">
      <c r="B243" s="239"/>
      <c r="C243" s="240"/>
      <c r="D243" s="240"/>
      <c r="E243" s="240"/>
      <c r="F243" s="240"/>
      <c r="G243" s="241"/>
      <c r="H243" s="242" t="s">
        <v>136</v>
      </c>
      <c r="I243" s="243" t="s">
        <v>137</v>
      </c>
    </row>
    <row r="244" spans="8:8">
      <c r="B244" s="244"/>
      <c r="C244" s="245"/>
      <c r="D244" s="245" t="s">
        <v>147</v>
      </c>
      <c r="E244" s="246"/>
      <c r="F244" s="246"/>
      <c r="G244" s="247"/>
      <c r="H244" s="248">
        <f>VLOOKUP(D239,'Master Account'!$A$6:$E$69,4,FALSE)</f>
        <v>0.0</v>
      </c>
      <c r="I244" s="249">
        <f>VLOOKUP(D239,'Master Account'!$A$6:$E$69,5,FALSE)</f>
        <v>0.0</v>
      </c>
    </row>
    <row r="245" spans="8:8">
      <c r="B245" s="250"/>
      <c r="C245" s="251"/>
      <c r="D245" s="251" t="s">
        <v>169</v>
      </c>
      <c r="E245" s="252"/>
      <c r="F245" s="253">
        <f>SUMIF('JURNAL UMUM'!$A$8:$G$178,'BUKU BESAR'!D239,'JURNAL UMUM'!$F$8:$F$178)</f>
        <v>0.0</v>
      </c>
      <c r="G245" s="253">
        <f>SUMIF('JURNAL UMUM'!$A$8:$G$178,'BUKU BESAR'!D239,'JURNAL UMUM'!$G$8:$G$178)</f>
        <v>750000.0</v>
      </c>
      <c r="H245" s="253">
        <f>IF(H244+F245&gt;I244+G245,((H244+F245)-(I244+G245)),0)</f>
        <v>0.0</v>
      </c>
      <c r="I245" s="254">
        <f>IF(I244+G245&gt;H244+F245,((I244+G245)-(H244+F245)),0)</f>
        <v>750000.0</v>
      </c>
    </row>
    <row r="246" spans="8:8">
      <c r="B246" s="255"/>
      <c r="C246" s="256"/>
      <c r="D246" s="256"/>
      <c r="E246" s="256"/>
      <c r="F246" s="257"/>
      <c r="G246" s="258"/>
      <c r="H246" s="258"/>
      <c r="I246" s="259"/>
    </row>
    <row r="247" spans="8:8">
      <c r="B247" s="260"/>
      <c r="C247" s="260"/>
      <c r="D247" s="260"/>
      <c r="E247" s="260"/>
      <c r="F247" s="260"/>
      <c r="G247" s="260"/>
      <c r="H247" s="260"/>
      <c r="I247" s="260"/>
    </row>
    <row r="248" spans="8:8">
      <c r="B248" s="229" t="s">
        <v>167</v>
      </c>
      <c r="C248" s="128"/>
      <c r="D248" s="230">
        <v>21400.0</v>
      </c>
      <c r="E248" s="128"/>
      <c r="F248" s="128"/>
      <c r="G248" s="128"/>
      <c r="H248" s="128"/>
      <c r="I248" s="188"/>
    </row>
    <row r="249" spans="8:8">
      <c r="B249" s="131" t="s">
        <v>168</v>
      </c>
      <c r="C249" s="127"/>
      <c r="D249" s="132" t="str">
        <f>VLOOKUP(D248,'Master Account'!$A$6:$E$69,2,FALSE)</f>
        <v>Hutang Pajak</v>
      </c>
      <c r="E249" s="127"/>
      <c r="F249" s="132"/>
      <c r="G249" s="231"/>
      <c r="H249" s="232"/>
      <c r="I249" s="233"/>
    </row>
    <row r="250" spans="8:8">
      <c r="B250" s="163"/>
      <c r="C250" s="127"/>
      <c r="D250" s="127"/>
      <c r="E250" s="127"/>
      <c r="F250" s="127"/>
      <c r="G250" s="232"/>
      <c r="H250" s="232"/>
      <c r="I250" s="233"/>
    </row>
    <row r="251" spans="8:8">
      <c r="B251" s="234" t="s">
        <v>132</v>
      </c>
      <c r="C251" s="235" t="s">
        <v>133</v>
      </c>
      <c r="D251" s="235" t="s">
        <v>146</v>
      </c>
      <c r="E251" s="235" t="s">
        <v>135</v>
      </c>
      <c r="F251" s="235" t="s">
        <v>136</v>
      </c>
      <c r="G251" s="236" t="s">
        <v>137</v>
      </c>
      <c r="H251" s="237" t="s">
        <v>141</v>
      </c>
      <c r="I251" s="238"/>
    </row>
    <row r="252" spans="8:8">
      <c r="B252" s="239"/>
      <c r="C252" s="240"/>
      <c r="D252" s="240"/>
      <c r="E252" s="240"/>
      <c r="F252" s="240"/>
      <c r="G252" s="241"/>
      <c r="H252" s="242" t="s">
        <v>136</v>
      </c>
      <c r="I252" s="243" t="s">
        <v>137</v>
      </c>
    </row>
    <row r="253" spans="8:8">
      <c r="B253" s="244"/>
      <c r="C253" s="245"/>
      <c r="D253" s="245" t="s">
        <v>147</v>
      </c>
      <c r="E253" s="246"/>
      <c r="F253" s="246"/>
      <c r="G253" s="247"/>
      <c r="H253" s="248">
        <f>VLOOKUP(D248,'Master Account'!$A$6:$E$69,4,FALSE)</f>
        <v>0.0</v>
      </c>
      <c r="I253" s="249">
        <f>VLOOKUP(D248,'Master Account'!$A$6:$E$69,5,FALSE)</f>
        <v>0.0</v>
      </c>
    </row>
    <row r="254" spans="8:8">
      <c r="B254" s="250"/>
      <c r="C254" s="251"/>
      <c r="D254" s="251" t="s">
        <v>169</v>
      </c>
      <c r="E254" s="252"/>
      <c r="F254" s="253">
        <f>SUMIF('JURNAL UMUM'!$A$8:$G$178,'BUKU BESAR'!D248,'JURNAL UMUM'!$F$8:$F$178)</f>
        <v>0.0</v>
      </c>
      <c r="G254" s="253">
        <f>SUMIF('JURNAL UMUM'!$A$8:$G$178,'BUKU BESAR'!D248,'JURNAL UMUM'!$G$8:$G$178)</f>
        <v>0.0</v>
      </c>
      <c r="H254" s="253">
        <f>IF(H253+F254&gt;I253+G254,((H253+F254)-(I253+G254)),0)</f>
        <v>0.0</v>
      </c>
      <c r="I254" s="254">
        <f>IF(I253+G254&gt;H253+F254,((I253+G254)-(H253+F254)),0)</f>
        <v>0.0</v>
      </c>
    </row>
    <row r="255" spans="8:8">
      <c r="B255" s="255"/>
      <c r="C255" s="256"/>
      <c r="D255" s="256"/>
      <c r="E255" s="256"/>
      <c r="F255" s="257"/>
      <c r="G255" s="258"/>
      <c r="H255" s="258"/>
      <c r="I255" s="259"/>
    </row>
    <row r="256" spans="8:8">
      <c r="B256" s="260"/>
      <c r="C256" s="260"/>
      <c r="D256" s="260"/>
      <c r="E256" s="260"/>
      <c r="F256" s="260"/>
      <c r="G256" s="260"/>
      <c r="H256" s="260"/>
      <c r="I256" s="260"/>
    </row>
    <row r="257" spans="8:8">
      <c r="B257" s="229" t="s">
        <v>167</v>
      </c>
      <c r="C257" s="128"/>
      <c r="D257" s="230">
        <v>21401.0</v>
      </c>
      <c r="E257" s="128"/>
      <c r="F257" s="128"/>
      <c r="G257" s="128"/>
      <c r="H257" s="128"/>
      <c r="I257" s="188"/>
    </row>
    <row r="258" spans="8:8">
      <c r="B258" s="131" t="s">
        <v>168</v>
      </c>
      <c r="C258" s="127"/>
      <c r="D258" s="132" t="str">
        <f>VLOOKUP(D257,'Master Account'!$A$6:$E$69,2,FALSE)</f>
        <v>Utang PPh Pasal 21</v>
      </c>
      <c r="E258" s="127"/>
      <c r="F258" s="132"/>
      <c r="G258" s="231"/>
      <c r="H258" s="232"/>
      <c r="I258" s="233"/>
    </row>
    <row r="259" spans="8:8">
      <c r="B259" s="163"/>
      <c r="C259" s="127"/>
      <c r="D259" s="127"/>
      <c r="E259" s="127"/>
      <c r="F259" s="127"/>
      <c r="G259" s="232"/>
      <c r="H259" s="232"/>
      <c r="I259" s="233"/>
    </row>
    <row r="260" spans="8:8">
      <c r="B260" s="234" t="s">
        <v>132</v>
      </c>
      <c r="C260" s="235" t="s">
        <v>133</v>
      </c>
      <c r="D260" s="235" t="s">
        <v>146</v>
      </c>
      <c r="E260" s="235" t="s">
        <v>135</v>
      </c>
      <c r="F260" s="235" t="s">
        <v>136</v>
      </c>
      <c r="G260" s="236" t="s">
        <v>137</v>
      </c>
      <c r="H260" s="237" t="s">
        <v>141</v>
      </c>
      <c r="I260" s="238"/>
    </row>
    <row r="261" spans="8:8">
      <c r="B261" s="239"/>
      <c r="C261" s="240"/>
      <c r="D261" s="240"/>
      <c r="E261" s="240"/>
      <c r="F261" s="240"/>
      <c r="G261" s="241"/>
      <c r="H261" s="242" t="s">
        <v>136</v>
      </c>
      <c r="I261" s="243" t="s">
        <v>137</v>
      </c>
    </row>
    <row r="262" spans="8:8">
      <c r="B262" s="244"/>
      <c r="C262" s="245"/>
      <c r="D262" s="245" t="s">
        <v>147</v>
      </c>
      <c r="E262" s="246"/>
      <c r="F262" s="246"/>
      <c r="G262" s="247"/>
      <c r="H262" s="248">
        <f>VLOOKUP(D257,'Master Account'!$A$6:$E$69,4,FALSE)</f>
        <v>0.0</v>
      </c>
      <c r="I262" s="249">
        <f>VLOOKUP(D257,'Master Account'!$A$6:$E$69,5,FALSE)</f>
        <v>0.0</v>
      </c>
    </row>
    <row r="263" spans="8:8">
      <c r="B263" s="250"/>
      <c r="C263" s="251"/>
      <c r="D263" s="251" t="s">
        <v>169</v>
      </c>
      <c r="E263" s="252"/>
      <c r="F263" s="253">
        <f>SUMIF('JURNAL UMUM'!$A$8:$G$178,'BUKU BESAR'!D257,'JURNAL UMUM'!$F$8:$F$178)</f>
        <v>0.0</v>
      </c>
      <c r="G263" s="253">
        <f>SUMIF('JURNAL UMUM'!$A$8:$G$178,'BUKU BESAR'!D257,'JURNAL UMUM'!$G$8:$G$178)</f>
        <v>725000.0</v>
      </c>
      <c r="H263" s="253">
        <f>IF(H262+F263&gt;I262+G263,((H262+F263)-(I262+G263)),0)</f>
        <v>0.0</v>
      </c>
      <c r="I263" s="254">
        <f>IF(I262+G263&gt;H262+F263,((I262+G263)-(H262+F263)),0)</f>
        <v>725000.0</v>
      </c>
    </row>
    <row r="264" spans="8:8">
      <c r="B264" s="255"/>
      <c r="C264" s="256"/>
      <c r="D264" s="256"/>
      <c r="E264" s="256"/>
      <c r="F264" s="257"/>
      <c r="G264" s="258"/>
      <c r="H264" s="258"/>
      <c r="I264" s="259"/>
    </row>
    <row r="265" spans="8:8">
      <c r="B265" s="260"/>
      <c r="C265" s="260"/>
      <c r="D265" s="260"/>
      <c r="E265" s="260"/>
      <c r="F265" s="260"/>
      <c r="G265" s="260"/>
      <c r="H265" s="260"/>
      <c r="I265" s="260"/>
    </row>
    <row r="266" spans="8:8">
      <c r="B266" s="229" t="s">
        <v>167</v>
      </c>
      <c r="C266" s="128"/>
      <c r="D266" s="230">
        <v>21402.0</v>
      </c>
      <c r="E266" s="128"/>
      <c r="F266" s="128"/>
      <c r="G266" s="128"/>
      <c r="H266" s="128"/>
      <c r="I266" s="188"/>
    </row>
    <row r="267" spans="8:8">
      <c r="B267" s="131" t="s">
        <v>168</v>
      </c>
      <c r="C267" s="127"/>
      <c r="D267" s="132" t="str">
        <f>VLOOKUP(D266,'Master Account'!$A$6:$E$69,2,FALSE)</f>
        <v>Utang PPh Pasal 4</v>
      </c>
      <c r="E267" s="127"/>
      <c r="F267" s="132"/>
      <c r="G267" s="231"/>
      <c r="H267" s="232"/>
      <c r="I267" s="233"/>
    </row>
    <row r="268" spans="8:8">
      <c r="B268" s="163"/>
      <c r="C268" s="127"/>
      <c r="D268" s="127"/>
      <c r="E268" s="127"/>
      <c r="F268" s="127"/>
      <c r="G268" s="232"/>
      <c r="H268" s="232"/>
      <c r="I268" s="233"/>
    </row>
    <row r="269" spans="8:8">
      <c r="B269" s="234" t="s">
        <v>132</v>
      </c>
      <c r="C269" s="235" t="s">
        <v>133</v>
      </c>
      <c r="D269" s="235" t="s">
        <v>146</v>
      </c>
      <c r="E269" s="235" t="s">
        <v>135</v>
      </c>
      <c r="F269" s="235" t="s">
        <v>136</v>
      </c>
      <c r="G269" s="236" t="s">
        <v>137</v>
      </c>
      <c r="H269" s="237" t="s">
        <v>141</v>
      </c>
      <c r="I269" s="238"/>
    </row>
    <row r="270" spans="8:8">
      <c r="B270" s="239"/>
      <c r="C270" s="240"/>
      <c r="D270" s="240"/>
      <c r="E270" s="240"/>
      <c r="F270" s="240"/>
      <c r="G270" s="241"/>
      <c r="H270" s="242" t="s">
        <v>136</v>
      </c>
      <c r="I270" s="243" t="s">
        <v>137</v>
      </c>
    </row>
    <row r="271" spans="8:8">
      <c r="B271" s="244"/>
      <c r="C271" s="245"/>
      <c r="D271" s="245" t="s">
        <v>147</v>
      </c>
      <c r="E271" s="246"/>
      <c r="F271" s="246"/>
      <c r="G271" s="247"/>
      <c r="H271" s="248">
        <f>VLOOKUP(D266,'Master Account'!$A$6:$E$69,4,FALSE)</f>
        <v>0.0</v>
      </c>
      <c r="I271" s="249">
        <f>VLOOKUP(D266,'Master Account'!$A$6:$E$69,5,FALSE)</f>
        <v>0.0</v>
      </c>
    </row>
    <row r="272" spans="8:8">
      <c r="B272" s="250"/>
      <c r="C272" s="251"/>
      <c r="D272" s="251" t="s">
        <v>169</v>
      </c>
      <c r="E272" s="252"/>
      <c r="F272" s="253">
        <f>SUMIF('JURNAL UMUM'!$A$8:$G$178,'BUKU BESAR'!D266,'JURNAL UMUM'!$F$8:$F$178)</f>
        <v>0.0</v>
      </c>
      <c r="G272" s="253">
        <f>SUMIF('JURNAL UMUM'!$A$8:$G$178,'BUKU BESAR'!D266,'JURNAL UMUM'!$G$8:$G$178)</f>
        <v>250000.0</v>
      </c>
      <c r="H272" s="253">
        <f>IF(H271+F272&gt;I271+G272,((H271+F272)-(I271+G272)),0)</f>
        <v>0.0</v>
      </c>
      <c r="I272" s="254">
        <f>IF(I271+G272&gt;H271+F272,((I271+G272)-(H271+F272)),0)</f>
        <v>250000.0</v>
      </c>
    </row>
    <row r="273" spans="8:8">
      <c r="B273" s="255"/>
      <c r="C273" s="256"/>
      <c r="D273" s="256"/>
      <c r="E273" s="256"/>
      <c r="F273" s="257"/>
      <c r="G273" s="258"/>
      <c r="H273" s="258"/>
      <c r="I273" s="259"/>
    </row>
    <row r="275" spans="8:8">
      <c r="B275" s="229" t="s">
        <v>167</v>
      </c>
      <c r="C275" s="128"/>
      <c r="D275" s="230">
        <v>21403.0</v>
      </c>
      <c r="E275" s="128"/>
      <c r="F275" s="128"/>
      <c r="G275" s="128"/>
      <c r="H275" s="128"/>
      <c r="I275" s="188"/>
    </row>
    <row r="276" spans="8:8">
      <c r="B276" s="131" t="s">
        <v>168</v>
      </c>
      <c r="C276" s="127"/>
      <c r="D276" s="132" t="str">
        <f>VLOOKUP(D275,'Master Account'!$A$6:$E$69,2,FALSE)</f>
        <v>PPN Keluaran </v>
      </c>
      <c r="E276" s="127"/>
      <c r="F276" s="132"/>
      <c r="G276" s="231"/>
      <c r="H276" s="232"/>
      <c r="I276" s="233"/>
    </row>
    <row r="277" spans="8:8">
      <c r="B277" s="163"/>
      <c r="C277" s="127"/>
      <c r="D277" s="127"/>
      <c r="E277" s="127"/>
      <c r="F277" s="127"/>
      <c r="G277" s="232"/>
      <c r="H277" s="232"/>
      <c r="I277" s="233"/>
    </row>
    <row r="278" spans="8:8">
      <c r="B278" s="234" t="s">
        <v>132</v>
      </c>
      <c r="C278" s="235" t="s">
        <v>133</v>
      </c>
      <c r="D278" s="235" t="s">
        <v>146</v>
      </c>
      <c r="E278" s="235" t="s">
        <v>135</v>
      </c>
      <c r="F278" s="235" t="s">
        <v>136</v>
      </c>
      <c r="G278" s="236" t="s">
        <v>137</v>
      </c>
      <c r="H278" s="237" t="s">
        <v>141</v>
      </c>
      <c r="I278" s="238"/>
    </row>
    <row r="279" spans="8:8">
      <c r="B279" s="239"/>
      <c r="C279" s="240"/>
      <c r="D279" s="240"/>
      <c r="E279" s="240"/>
      <c r="F279" s="240"/>
      <c r="G279" s="241"/>
      <c r="H279" s="242" t="s">
        <v>136</v>
      </c>
      <c r="I279" s="243" t="s">
        <v>137</v>
      </c>
    </row>
    <row r="280" spans="8:8">
      <c r="B280" s="244"/>
      <c r="C280" s="245"/>
      <c r="D280" s="245" t="s">
        <v>147</v>
      </c>
      <c r="E280" s="246"/>
      <c r="F280" s="246"/>
      <c r="G280" s="247"/>
      <c r="H280" s="248">
        <f>VLOOKUP(D275,'Master Account'!$A$6:$E$69,4,FALSE)</f>
        <v>0.0</v>
      </c>
      <c r="I280" s="249">
        <f>VLOOKUP(D275,'Master Account'!$A$6:$E$69,5,FALSE)</f>
        <v>0.0</v>
      </c>
    </row>
    <row r="281" spans="8:8">
      <c r="B281" s="250"/>
      <c r="C281" s="251"/>
      <c r="D281" s="251" t="s">
        <v>169</v>
      </c>
      <c r="E281" s="252"/>
      <c r="F281" s="253">
        <f>SUMIF('JURNAL UMUM'!$A$8:$G$178,'BUKU BESAR'!D275,'JURNAL UMUM'!$F$8:$F$178)</f>
        <v>212500.0</v>
      </c>
      <c r="G281" s="253">
        <f>SUMIF('JURNAL UMUM'!$A$8:$G$178,'BUKU BESAR'!D275,'JURNAL UMUM'!$G$8:$G$178)</f>
        <v>1.418225E7</v>
      </c>
      <c r="H281" s="253">
        <f>IF(H280+F281&gt;I280+G281,((H280+F281)-(I280+G281)),0)</f>
        <v>0.0</v>
      </c>
      <c r="I281" s="254">
        <f>IF(I280+G281&gt;H280+F281,((I280+G281)-(H280+F281)),0)</f>
        <v>1.396975E7</v>
      </c>
    </row>
    <row r="282" spans="8:8">
      <c r="B282" s="255"/>
      <c r="C282" s="256"/>
      <c r="D282" s="256"/>
      <c r="E282" s="256"/>
      <c r="F282" s="257"/>
      <c r="G282" s="258"/>
      <c r="H282" s="258"/>
      <c r="I282" s="259"/>
    </row>
    <row r="283" spans="8:8">
      <c r="B283" s="260"/>
      <c r="C283" s="260"/>
      <c r="D283" s="260"/>
      <c r="E283" s="260"/>
      <c r="F283" s="260"/>
      <c r="G283" s="260"/>
      <c r="H283" s="260"/>
      <c r="I283" s="260"/>
    </row>
    <row r="284" spans="8:8">
      <c r="B284" s="229" t="s">
        <v>167</v>
      </c>
      <c r="C284" s="128"/>
      <c r="D284" s="230">
        <v>22000.0</v>
      </c>
      <c r="E284" s="128"/>
      <c r="F284" s="128"/>
      <c r="G284" s="128"/>
      <c r="H284" s="128"/>
      <c r="I284" s="188"/>
    </row>
    <row r="285" spans="8:8">
      <c r="B285" s="131" t="s">
        <v>168</v>
      </c>
      <c r="C285" s="127"/>
      <c r="D285" s="132" t="str">
        <f>VLOOKUP(D284,'Master Account'!$A$6:$E$69,2,FALSE)</f>
        <v>KEWAJIBAN JANGKA PANJANG</v>
      </c>
      <c r="E285" s="127"/>
      <c r="F285" s="132"/>
      <c r="G285" s="231"/>
      <c r="H285" s="232"/>
      <c r="I285" s="233"/>
    </row>
    <row r="286" spans="8:8">
      <c r="B286" s="163"/>
      <c r="C286" s="127"/>
      <c r="D286" s="127"/>
      <c r="E286" s="127"/>
      <c r="F286" s="127"/>
      <c r="G286" s="232"/>
      <c r="H286" s="232"/>
      <c r="I286" s="233"/>
    </row>
    <row r="287" spans="8:8">
      <c r="B287" s="234" t="s">
        <v>132</v>
      </c>
      <c r="C287" s="235" t="s">
        <v>133</v>
      </c>
      <c r="D287" s="235" t="s">
        <v>146</v>
      </c>
      <c r="E287" s="235" t="s">
        <v>135</v>
      </c>
      <c r="F287" s="235" t="s">
        <v>136</v>
      </c>
      <c r="G287" s="236" t="s">
        <v>137</v>
      </c>
      <c r="H287" s="237" t="s">
        <v>141</v>
      </c>
      <c r="I287" s="238"/>
    </row>
    <row r="288" spans="8:8">
      <c r="B288" s="239"/>
      <c r="C288" s="240"/>
      <c r="D288" s="240"/>
      <c r="E288" s="240"/>
      <c r="F288" s="240"/>
      <c r="G288" s="241"/>
      <c r="H288" s="242" t="s">
        <v>136</v>
      </c>
      <c r="I288" s="243" t="s">
        <v>137</v>
      </c>
    </row>
    <row r="289" spans="8:8">
      <c r="B289" s="244"/>
      <c r="C289" s="245"/>
      <c r="D289" s="245" t="s">
        <v>147</v>
      </c>
      <c r="E289" s="246"/>
      <c r="F289" s="246"/>
      <c r="G289" s="247"/>
      <c r="H289" s="248">
        <f>VLOOKUP(D284,'Master Account'!$A$6:$E$69,4,FALSE)</f>
        <v>0.0</v>
      </c>
      <c r="I289" s="249">
        <f>VLOOKUP(D284,'Master Account'!$A$6:$E$69,5,FALSE)</f>
        <v>0.0</v>
      </c>
    </row>
    <row r="290" spans="8:8">
      <c r="B290" s="250"/>
      <c r="C290" s="251"/>
      <c r="D290" s="251" t="s">
        <v>169</v>
      </c>
      <c r="E290" s="252"/>
      <c r="F290" s="253">
        <f>SUMIF('JURNAL UMUM'!$A$8:$G$178,'BUKU BESAR'!D284,'JURNAL UMUM'!$F$8:$F$178)</f>
        <v>0.0</v>
      </c>
      <c r="G290" s="253">
        <f>SUMIF('JURNAL UMUM'!$A$8:$G$178,'BUKU BESAR'!D284,'JURNAL UMUM'!$G$8:$G$178)</f>
        <v>0.0</v>
      </c>
      <c r="H290" s="253">
        <f>IF(H289+F290&gt;I289+G290,((H289+F290)-(I289+G290)),0)</f>
        <v>0.0</v>
      </c>
      <c r="I290" s="254">
        <f>IF(I289+G290&gt;H289+F290,((I289+G290)-(H289+F290)),0)</f>
        <v>0.0</v>
      </c>
    </row>
    <row r="291" spans="8:8">
      <c r="B291" s="255"/>
      <c r="C291" s="256"/>
      <c r="D291" s="256"/>
      <c r="E291" s="256"/>
      <c r="F291" s="257"/>
      <c r="G291" s="258"/>
      <c r="H291" s="258"/>
      <c r="I291" s="259"/>
    </row>
    <row r="292" spans="8:8">
      <c r="B292" s="260"/>
      <c r="C292" s="260"/>
      <c r="D292" s="260"/>
      <c r="E292" s="260"/>
      <c r="F292" s="260"/>
      <c r="G292" s="260"/>
      <c r="H292" s="260"/>
      <c r="I292" s="260"/>
    </row>
    <row r="293" spans="8:8">
      <c r="B293" s="229" t="s">
        <v>167</v>
      </c>
      <c r="C293" s="128"/>
      <c r="D293" s="230">
        <v>22001.0</v>
      </c>
      <c r="E293" s="128"/>
      <c r="F293" s="128"/>
      <c r="G293" s="128"/>
      <c r="H293" s="128"/>
      <c r="I293" s="188"/>
    </row>
    <row r="294" spans="8:8">
      <c r="B294" s="131" t="s">
        <v>168</v>
      </c>
      <c r="C294" s="127"/>
      <c r="D294" s="132" t="str">
        <f>VLOOKUP(D293,'Master Account'!$A$6:$E$69,2,FALSE)</f>
        <v>Hutang Bank Mandiri</v>
      </c>
      <c r="E294" s="127"/>
      <c r="F294" s="132"/>
      <c r="G294" s="231"/>
      <c r="H294" s="232"/>
      <c r="I294" s="233"/>
    </row>
    <row r="295" spans="8:8">
      <c r="B295" s="163"/>
      <c r="C295" s="127"/>
      <c r="D295" s="127"/>
      <c r="E295" s="127"/>
      <c r="F295" s="127"/>
      <c r="G295" s="232"/>
      <c r="H295" s="232"/>
      <c r="I295" s="233"/>
    </row>
    <row r="296" spans="8:8">
      <c r="B296" s="234" t="s">
        <v>132</v>
      </c>
      <c r="C296" s="235" t="s">
        <v>133</v>
      </c>
      <c r="D296" s="235" t="s">
        <v>146</v>
      </c>
      <c r="E296" s="235" t="s">
        <v>135</v>
      </c>
      <c r="F296" s="235" t="s">
        <v>136</v>
      </c>
      <c r="G296" s="236" t="s">
        <v>137</v>
      </c>
      <c r="H296" s="237" t="s">
        <v>141</v>
      </c>
      <c r="I296" s="238"/>
    </row>
    <row r="297" spans="8:8">
      <c r="B297" s="239"/>
      <c r="C297" s="240"/>
      <c r="D297" s="240"/>
      <c r="E297" s="240"/>
      <c r="F297" s="240"/>
      <c r="G297" s="241"/>
      <c r="H297" s="242" t="s">
        <v>136</v>
      </c>
      <c r="I297" s="243" t="s">
        <v>137</v>
      </c>
    </row>
    <row r="298" spans="8:8">
      <c r="B298" s="244"/>
      <c r="C298" s="245"/>
      <c r="D298" s="245" t="s">
        <v>147</v>
      </c>
      <c r="E298" s="246"/>
      <c r="F298" s="246"/>
      <c r="G298" s="247"/>
      <c r="H298" s="248">
        <f>VLOOKUP(D293,'Master Account'!$A$6:$E$69,4,FALSE)</f>
        <v>0.0</v>
      </c>
      <c r="I298" s="249">
        <f>VLOOKUP(D293,'Master Account'!$A$6:$E$69,5,FALSE)</f>
        <v>7.5E7</v>
      </c>
    </row>
    <row r="299" spans="8:8">
      <c r="B299" s="250"/>
      <c r="C299" s="251"/>
      <c r="D299" s="251" t="s">
        <v>169</v>
      </c>
      <c r="E299" s="252"/>
      <c r="F299" s="253">
        <f>SUMIF('JURNAL UMUM'!$A$8:$G$178,'BUKU BESAR'!D293,'JURNAL UMUM'!$F$8:$F$178)</f>
        <v>0.0</v>
      </c>
      <c r="G299" s="253">
        <f>SUMIF('JURNAL UMUM'!$A$8:$G$178,'BUKU BESAR'!D293,'JURNAL UMUM'!$G$8:$G$178)</f>
        <v>0.0</v>
      </c>
      <c r="H299" s="253">
        <f>IF(H298+F299&gt;I298+G299,((H298+F299)-(I298+G299)),0)</f>
        <v>0.0</v>
      </c>
      <c r="I299" s="254">
        <f>IF(I298+G299&gt;H298+F299,((I298+G299)-(H298+F299)),0)</f>
        <v>7.5E7</v>
      </c>
    </row>
    <row r="300" spans="8:8">
      <c r="B300" s="255"/>
      <c r="C300" s="256"/>
      <c r="D300" s="256"/>
      <c r="E300" s="256"/>
      <c r="F300" s="257"/>
      <c r="G300" s="258"/>
      <c r="H300" s="258"/>
      <c r="I300" s="259"/>
    </row>
    <row r="301" spans="8:8">
      <c r="B301" s="260"/>
      <c r="C301" s="260"/>
      <c r="D301" s="260"/>
      <c r="E301" s="260"/>
      <c r="F301" s="260"/>
      <c r="G301" s="260"/>
      <c r="H301" s="260"/>
      <c r="I301" s="260"/>
    </row>
    <row r="302" spans="8:8">
      <c r="B302" s="229" t="s">
        <v>167</v>
      </c>
      <c r="C302" s="128"/>
      <c r="D302" s="261">
        <v>30000.0</v>
      </c>
      <c r="E302" s="128"/>
      <c r="F302" s="128"/>
      <c r="G302" s="128"/>
      <c r="H302" s="128"/>
      <c r="I302" s="188"/>
    </row>
    <row r="303" spans="8:8">
      <c r="B303" s="131" t="s">
        <v>168</v>
      </c>
      <c r="C303" s="127"/>
      <c r="D303" s="132" t="str">
        <f>VLOOKUP(D302,'Master Account'!$A$6:$E$69,2,FALSE)</f>
        <v>EKUITAS</v>
      </c>
      <c r="E303" s="127"/>
      <c r="F303" s="132"/>
      <c r="G303" s="231"/>
      <c r="H303" s="232"/>
      <c r="I303" s="233"/>
    </row>
    <row r="304" spans="8:8">
      <c r="B304" s="163"/>
      <c r="C304" s="127"/>
      <c r="D304" s="127"/>
      <c r="E304" s="127"/>
      <c r="F304" s="127"/>
      <c r="G304" s="232"/>
      <c r="H304" s="232"/>
      <c r="I304" s="233"/>
    </row>
    <row r="305" spans="8:8">
      <c r="B305" s="234" t="s">
        <v>132</v>
      </c>
      <c r="C305" s="235" t="s">
        <v>133</v>
      </c>
      <c r="D305" s="235" t="s">
        <v>146</v>
      </c>
      <c r="E305" s="235" t="s">
        <v>135</v>
      </c>
      <c r="F305" s="235" t="s">
        <v>136</v>
      </c>
      <c r="G305" s="236" t="s">
        <v>137</v>
      </c>
      <c r="H305" s="237" t="s">
        <v>141</v>
      </c>
      <c r="I305" s="238"/>
    </row>
    <row r="306" spans="8:8">
      <c r="B306" s="239"/>
      <c r="C306" s="240"/>
      <c r="D306" s="240"/>
      <c r="E306" s="240"/>
      <c r="F306" s="240"/>
      <c r="G306" s="241"/>
      <c r="H306" s="242" t="s">
        <v>136</v>
      </c>
      <c r="I306" s="243" t="s">
        <v>137</v>
      </c>
    </row>
    <row r="307" spans="8:8">
      <c r="B307" s="244"/>
      <c r="C307" s="245"/>
      <c r="D307" s="245" t="s">
        <v>147</v>
      </c>
      <c r="E307" s="246"/>
      <c r="F307" s="246"/>
      <c r="G307" s="247"/>
      <c r="H307" s="248">
        <f>VLOOKUP(D302,'Master Account'!$A$6:$E$69,4,FALSE)</f>
        <v>0.0</v>
      </c>
      <c r="I307" s="249">
        <f>VLOOKUP(D302,'Master Account'!$A$6:$E$69,5,FALSE)</f>
        <v>0.0</v>
      </c>
    </row>
    <row r="308" spans="8:8">
      <c r="B308" s="250"/>
      <c r="C308" s="251"/>
      <c r="D308" s="251" t="s">
        <v>169</v>
      </c>
      <c r="E308" s="252"/>
      <c r="F308" s="253">
        <f>SUMIF('JURNAL UMUM'!$A$8:$G$178,'BUKU BESAR'!D302,'JURNAL UMUM'!$F$8:$F$178)</f>
        <v>0.0</v>
      </c>
      <c r="G308" s="253">
        <f>SUMIF('JURNAL UMUM'!$A$8:$G$178,'BUKU BESAR'!D302,'JURNAL UMUM'!$G$8:$G$178)</f>
        <v>0.0</v>
      </c>
      <c r="H308" s="253">
        <f>IF(H307+F308&gt;I307+G308,((H307+F308)-(I307+G308)),0)</f>
        <v>0.0</v>
      </c>
      <c r="I308" s="254">
        <f>IF(I307+G308&gt;H307+F308,((I307+G308)-(H307+F308)),0)</f>
        <v>0.0</v>
      </c>
    </row>
    <row r="309" spans="8:8">
      <c r="B309" s="255"/>
      <c r="C309" s="256"/>
      <c r="D309" s="256"/>
      <c r="E309" s="256"/>
      <c r="F309" s="257"/>
      <c r="G309" s="258"/>
      <c r="H309" s="258"/>
      <c r="I309" s="259"/>
    </row>
    <row r="310" spans="8:8">
      <c r="B310" s="260"/>
      <c r="C310" s="260"/>
      <c r="D310" s="260"/>
      <c r="E310" s="260"/>
      <c r="F310" s="260"/>
      <c r="G310" s="260"/>
      <c r="H310" s="260"/>
      <c r="I310" s="260"/>
    </row>
    <row r="311" spans="8:8">
      <c r="B311" s="229" t="s">
        <v>167</v>
      </c>
      <c r="C311" s="128"/>
      <c r="D311" s="230">
        <v>31000.0</v>
      </c>
      <c r="E311" s="128"/>
      <c r="F311" s="128"/>
      <c r="G311" s="128"/>
      <c r="H311" s="128"/>
      <c r="I311" s="188"/>
    </row>
    <row r="312" spans="8:8">
      <c r="B312" s="131" t="s">
        <v>168</v>
      </c>
      <c r="C312" s="127"/>
      <c r="D312" s="132" t="str">
        <f>VLOOKUP(D311,'Master Account'!$A$6:$E$69,2,FALSE)</f>
        <v>Modal Saham</v>
      </c>
      <c r="E312" s="127"/>
      <c r="F312" s="132"/>
      <c r="G312" s="231"/>
      <c r="H312" s="232"/>
      <c r="I312" s="233"/>
    </row>
    <row r="313" spans="8:8">
      <c r="B313" s="163"/>
      <c r="C313" s="127"/>
      <c r="D313" s="127"/>
      <c r="E313" s="127"/>
      <c r="F313" s="127"/>
      <c r="G313" s="232"/>
      <c r="H313" s="232"/>
      <c r="I313" s="233"/>
    </row>
    <row r="314" spans="8:8">
      <c r="B314" s="234" t="s">
        <v>132</v>
      </c>
      <c r="C314" s="235" t="s">
        <v>133</v>
      </c>
      <c r="D314" s="235" t="s">
        <v>146</v>
      </c>
      <c r="E314" s="235" t="s">
        <v>135</v>
      </c>
      <c r="F314" s="235" t="s">
        <v>136</v>
      </c>
      <c r="G314" s="236" t="s">
        <v>137</v>
      </c>
      <c r="H314" s="237" t="s">
        <v>141</v>
      </c>
      <c r="I314" s="238"/>
    </row>
    <row r="315" spans="8:8">
      <c r="B315" s="239"/>
      <c r="C315" s="240"/>
      <c r="D315" s="240"/>
      <c r="E315" s="240"/>
      <c r="F315" s="240"/>
      <c r="G315" s="241"/>
      <c r="H315" s="242" t="s">
        <v>136</v>
      </c>
      <c r="I315" s="243" t="s">
        <v>137</v>
      </c>
    </row>
    <row r="316" spans="8:8">
      <c r="B316" s="244"/>
      <c r="C316" s="245"/>
      <c r="D316" s="245" t="s">
        <v>147</v>
      </c>
      <c r="E316" s="246"/>
      <c r="F316" s="246"/>
      <c r="G316" s="247"/>
      <c r="H316" s="248">
        <f>VLOOKUP(D311,'Master Account'!$A$6:$E$69,4,FALSE)</f>
        <v>0.0</v>
      </c>
      <c r="I316" s="249">
        <f>VLOOKUP(D311,'Master Account'!$A$6:$E$69,5,FALSE)</f>
        <v>1.5E8</v>
      </c>
    </row>
    <row r="317" spans="8:8">
      <c r="B317" s="250"/>
      <c r="C317" s="251"/>
      <c r="D317" s="251" t="s">
        <v>169</v>
      </c>
      <c r="E317" s="252"/>
      <c r="F317" s="253">
        <f>SUMIF('JURNAL UMUM'!$A$8:$G$178,'BUKU BESAR'!D311,'JURNAL UMUM'!$F$8:$F$178)</f>
        <v>0.0</v>
      </c>
      <c r="G317" s="253">
        <f>SUMIF('JURNAL UMUM'!$A$8:$G$178,'BUKU BESAR'!D311,'JURNAL UMUM'!$G$8:$G$178)</f>
        <v>0.0</v>
      </c>
      <c r="H317" s="253">
        <f>IF(H316+F317&gt;I316+G317,((H316+F317)-(I316+G317)),0)</f>
        <v>0.0</v>
      </c>
      <c r="I317" s="254">
        <f>IF(I316+G317&gt;H316+F317,((I316+G317)-(H316+F317)),0)</f>
        <v>1.5E8</v>
      </c>
    </row>
    <row r="318" spans="8:8">
      <c r="B318" s="255"/>
      <c r="C318" s="256"/>
      <c r="D318" s="256"/>
      <c r="E318" s="256"/>
      <c r="F318" s="257"/>
      <c r="G318" s="258"/>
      <c r="H318" s="258"/>
      <c r="I318" s="259"/>
    </row>
    <row r="320" spans="8:8">
      <c r="B320" s="229" t="s">
        <v>167</v>
      </c>
      <c r="C320" s="128"/>
      <c r="D320" s="230">
        <v>32000.0</v>
      </c>
      <c r="E320" s="128"/>
      <c r="F320" s="128"/>
      <c r="G320" s="128"/>
      <c r="H320" s="128"/>
      <c r="I320" s="188"/>
    </row>
    <row r="321" spans="8:8">
      <c r="B321" s="131" t="s">
        <v>168</v>
      </c>
      <c r="C321" s="127"/>
      <c r="D321" s="132" t="str">
        <f>VLOOKUP(D320,'Master Account'!$A$6:$E$69,2,FALSE)</f>
        <v>Laba Ditahan Periode Lalu</v>
      </c>
      <c r="E321" s="127"/>
      <c r="F321" s="132"/>
      <c r="G321" s="231"/>
      <c r="H321" s="232"/>
      <c r="I321" s="233"/>
    </row>
    <row r="322" spans="8:8">
      <c r="B322" s="163"/>
      <c r="C322" s="127"/>
      <c r="D322" s="127"/>
      <c r="E322" s="127"/>
      <c r="F322" s="127"/>
      <c r="G322" s="232"/>
      <c r="H322" s="232"/>
      <c r="I322" s="233"/>
    </row>
    <row r="323" spans="8:8">
      <c r="B323" s="234" t="s">
        <v>132</v>
      </c>
      <c r="C323" s="235" t="s">
        <v>133</v>
      </c>
      <c r="D323" s="235" t="s">
        <v>146</v>
      </c>
      <c r="E323" s="235" t="s">
        <v>135</v>
      </c>
      <c r="F323" s="235" t="s">
        <v>136</v>
      </c>
      <c r="G323" s="236" t="s">
        <v>137</v>
      </c>
      <c r="H323" s="237" t="s">
        <v>141</v>
      </c>
      <c r="I323" s="238"/>
    </row>
    <row r="324" spans="8:8">
      <c r="B324" s="239"/>
      <c r="C324" s="240"/>
      <c r="D324" s="240"/>
      <c r="E324" s="240"/>
      <c r="F324" s="240"/>
      <c r="G324" s="241"/>
      <c r="H324" s="242" t="s">
        <v>136</v>
      </c>
      <c r="I324" s="243" t="s">
        <v>137</v>
      </c>
    </row>
    <row r="325" spans="8:8">
      <c r="B325" s="244"/>
      <c r="C325" s="245"/>
      <c r="D325" s="245" t="s">
        <v>147</v>
      </c>
      <c r="E325" s="246"/>
      <c r="F325" s="246"/>
      <c r="G325" s="247"/>
      <c r="H325" s="248">
        <f>VLOOKUP(D320,'Master Account'!$A$6:$E$69,4,FALSE)</f>
        <v>0.0</v>
      </c>
      <c r="I325" s="249">
        <f>VLOOKUP(D320,'Master Account'!$A$6:$E$69,5,FALSE)</f>
        <v>2.463E7</v>
      </c>
    </row>
    <row r="326" spans="8:8">
      <c r="B326" s="250"/>
      <c r="C326" s="251"/>
      <c r="D326" s="251" t="s">
        <v>169</v>
      </c>
      <c r="E326" s="252"/>
      <c r="F326" s="253">
        <f>SUMIF('JURNAL UMUM'!$A$8:$G$178,'BUKU BESAR'!D320,'JURNAL UMUM'!$F$8:$F$178)</f>
        <v>0.0</v>
      </c>
      <c r="G326" s="253">
        <f>SUMIF('JURNAL UMUM'!$A$8:$G$178,'BUKU BESAR'!D320,'JURNAL UMUM'!$G$8:$G$178)</f>
        <v>1418250.0</v>
      </c>
      <c r="H326" s="253">
        <f>IF(H325+F326&gt;I325+G326,((H325+F326)-(I325+G326)),0)</f>
        <v>0.0</v>
      </c>
      <c r="I326" s="254">
        <f>IF(I325+G326&gt;H325+F326,((I325+G326)-(H325+F326)),0)</f>
        <v>2.604825E7</v>
      </c>
    </row>
    <row r="327" spans="8:8">
      <c r="B327" s="255"/>
      <c r="C327" s="256"/>
      <c r="D327" s="256"/>
      <c r="E327" s="256"/>
      <c r="F327" s="257"/>
      <c r="G327" s="258"/>
      <c r="H327" s="258"/>
      <c r="I327" s="259"/>
    </row>
    <row r="328" spans="8:8">
      <c r="B328" s="260"/>
      <c r="C328" s="260"/>
      <c r="D328" s="260"/>
      <c r="E328" s="260"/>
      <c r="F328" s="260"/>
      <c r="G328" s="260"/>
      <c r="H328" s="260"/>
      <c r="I328" s="260"/>
    </row>
    <row r="329" spans="8:8">
      <c r="B329" s="229" t="s">
        <v>167</v>
      </c>
      <c r="C329" s="128"/>
      <c r="D329" s="230">
        <v>33000.0</v>
      </c>
      <c r="E329" s="128"/>
      <c r="F329" s="128"/>
      <c r="G329" s="128"/>
      <c r="H329" s="128"/>
      <c r="I329" s="188"/>
    </row>
    <row r="330" spans="8:8">
      <c r="B330" s="131" t="s">
        <v>168</v>
      </c>
      <c r="C330" s="127"/>
      <c r="D330" s="132" t="str">
        <f>VLOOKUP(D329,'Master Account'!$A$6:$E$69,2,FALSE)</f>
        <v>laba Ditahan Periode Berjalan</v>
      </c>
      <c r="E330" s="127"/>
      <c r="F330" s="132"/>
      <c r="G330" s="231"/>
      <c r="H330" s="232"/>
      <c r="I330" s="233"/>
    </row>
    <row r="331" spans="8:8">
      <c r="B331" s="163"/>
      <c r="C331" s="127"/>
      <c r="D331" s="127"/>
      <c r="E331" s="127"/>
      <c r="F331" s="127"/>
      <c r="G331" s="232"/>
      <c r="H331" s="232"/>
      <c r="I331" s="233"/>
    </row>
    <row r="332" spans="8:8">
      <c r="B332" s="234" t="s">
        <v>132</v>
      </c>
      <c r="C332" s="235" t="s">
        <v>133</v>
      </c>
      <c r="D332" s="235" t="s">
        <v>146</v>
      </c>
      <c r="E332" s="235" t="s">
        <v>135</v>
      </c>
      <c r="F332" s="235" t="s">
        <v>136</v>
      </c>
      <c r="G332" s="236" t="s">
        <v>137</v>
      </c>
      <c r="H332" s="237" t="s">
        <v>141</v>
      </c>
      <c r="I332" s="238"/>
    </row>
    <row r="333" spans="8:8">
      <c r="B333" s="239"/>
      <c r="C333" s="240"/>
      <c r="D333" s="240"/>
      <c r="E333" s="240"/>
      <c r="F333" s="240"/>
      <c r="G333" s="241"/>
      <c r="H333" s="242" t="s">
        <v>136</v>
      </c>
      <c r="I333" s="243" t="s">
        <v>137</v>
      </c>
    </row>
    <row r="334" spans="8:8">
      <c r="B334" s="244"/>
      <c r="C334" s="245"/>
      <c r="D334" s="245" t="s">
        <v>147</v>
      </c>
      <c r="E334" s="246"/>
      <c r="F334" s="246"/>
      <c r="G334" s="247"/>
      <c r="H334" s="248">
        <f>VLOOKUP(D329,'Master Account'!$A$6:$E$69,4,FALSE)</f>
        <v>0.0</v>
      </c>
      <c r="I334" s="249">
        <f>VLOOKUP(D329,'Master Account'!$A$6:$E$69,5,FALSE)</f>
        <v>0.0</v>
      </c>
    </row>
    <row r="335" spans="8:8">
      <c r="B335" s="250"/>
      <c r="C335" s="251"/>
      <c r="D335" s="251" t="s">
        <v>169</v>
      </c>
      <c r="E335" s="252"/>
      <c r="F335" s="253">
        <f>SUMIF('JURNAL UMUM'!$A$8:$G$178,'BUKU BESAR'!D329,'JURNAL UMUM'!$F$8:$F$178)</f>
        <v>0.0</v>
      </c>
      <c r="G335" s="253">
        <f>SUMIF('JURNAL UMUM'!$A$8:$G$178,'BUKU BESAR'!D329,'JURNAL UMUM'!$G$8:$G$178)</f>
        <v>0.0</v>
      </c>
      <c r="H335" s="253">
        <f>IF(H334+F335&gt;I334+G335,((H334+F335)-(I334+G335)),0)</f>
        <v>0.0</v>
      </c>
      <c r="I335" s="254">
        <f>IF(I334+G335&gt;H334+F335,((I334+G335)-(H334+F335)),0)</f>
        <v>0.0</v>
      </c>
    </row>
    <row r="336" spans="8:8">
      <c r="B336" s="255"/>
      <c r="C336" s="256"/>
      <c r="D336" s="256"/>
      <c r="E336" s="256"/>
      <c r="F336" s="257"/>
      <c r="G336" s="258"/>
      <c r="H336" s="258"/>
      <c r="I336" s="259"/>
    </row>
    <row r="337" spans="8:8">
      <c r="B337" s="260"/>
      <c r="C337" s="260"/>
      <c r="D337" s="260"/>
      <c r="E337" s="260"/>
      <c r="F337" s="260"/>
      <c r="G337" s="260"/>
      <c r="H337" s="260"/>
      <c r="I337" s="260"/>
    </row>
    <row r="338" spans="8:8">
      <c r="B338" s="229" t="s">
        <v>167</v>
      </c>
      <c r="C338" s="128"/>
      <c r="D338" s="230">
        <v>39999.0</v>
      </c>
      <c r="E338" s="128"/>
      <c r="F338" s="128"/>
      <c r="G338" s="128"/>
      <c r="H338" s="128"/>
      <c r="I338" s="188"/>
    </row>
    <row r="339" spans="8:8">
      <c r="B339" s="131" t="s">
        <v>168</v>
      </c>
      <c r="C339" s="127"/>
      <c r="D339" s="132" t="str">
        <f>VLOOKUP(D338,'Master Account'!$A$6:$E$69,2,FALSE)</f>
        <v>Perkiraan Penyeimbang</v>
      </c>
      <c r="E339" s="127"/>
      <c r="F339" s="132"/>
      <c r="G339" s="231"/>
      <c r="H339" s="232"/>
      <c r="I339" s="233"/>
    </row>
    <row r="340" spans="8:8">
      <c r="B340" s="163"/>
      <c r="C340" s="127"/>
      <c r="D340" s="127"/>
      <c r="E340" s="127"/>
      <c r="F340" s="127"/>
      <c r="G340" s="232"/>
      <c r="H340" s="232"/>
      <c r="I340" s="233"/>
    </row>
    <row r="341" spans="8:8">
      <c r="B341" s="234" t="s">
        <v>132</v>
      </c>
      <c r="C341" s="235" t="s">
        <v>133</v>
      </c>
      <c r="D341" s="235" t="s">
        <v>146</v>
      </c>
      <c r="E341" s="235" t="s">
        <v>135</v>
      </c>
      <c r="F341" s="235" t="s">
        <v>136</v>
      </c>
      <c r="G341" s="236" t="s">
        <v>137</v>
      </c>
      <c r="H341" s="237" t="s">
        <v>141</v>
      </c>
      <c r="I341" s="238"/>
    </row>
    <row r="342" spans="8:8">
      <c r="B342" s="239"/>
      <c r="C342" s="240"/>
      <c r="D342" s="240"/>
      <c r="E342" s="240"/>
      <c r="F342" s="240"/>
      <c r="G342" s="241"/>
      <c r="H342" s="242" t="s">
        <v>136</v>
      </c>
      <c r="I342" s="243" t="s">
        <v>137</v>
      </c>
    </row>
    <row r="343" spans="8:8">
      <c r="B343" s="244"/>
      <c r="C343" s="245"/>
      <c r="D343" s="245" t="s">
        <v>147</v>
      </c>
      <c r="E343" s="246"/>
      <c r="F343" s="246"/>
      <c r="G343" s="247"/>
      <c r="H343" s="248">
        <f>VLOOKUP(D338,'Master Account'!$A$6:$E$69,4,FALSE)</f>
        <v>0.0</v>
      </c>
      <c r="I343" s="249">
        <f>VLOOKUP(D338,'Master Account'!$A$6:$E$69,5,FALSE)</f>
        <v>0.0</v>
      </c>
    </row>
    <row r="344" spans="8:8">
      <c r="B344" s="250"/>
      <c r="C344" s="251"/>
      <c r="D344" s="251" t="s">
        <v>169</v>
      </c>
      <c r="E344" s="252"/>
      <c r="F344" s="253">
        <f>SUMIF('JURNAL UMUM'!$A$8:$G$178,'BUKU BESAR'!D338,'JURNAL UMUM'!$F$8:$F$178)</f>
        <v>0.0</v>
      </c>
      <c r="G344" s="253">
        <f>SUMIF('JURNAL UMUM'!$A$8:$G$178,'BUKU BESAR'!D338,'JURNAL UMUM'!$G$8:$G$178)</f>
        <v>0.0</v>
      </c>
      <c r="H344" s="253">
        <f>IF(H343+F344&gt;I343+G344,((H343+F344)-(I343+G344)),0)</f>
        <v>0.0</v>
      </c>
      <c r="I344" s="254">
        <f>IF(I343+G344&gt;H343+F344,((I343+G344)-(H343+F344)),0)</f>
        <v>0.0</v>
      </c>
    </row>
    <row r="345" spans="8:8">
      <c r="B345" s="255"/>
      <c r="C345" s="256"/>
      <c r="D345" s="256"/>
      <c r="E345" s="256"/>
      <c r="F345" s="257"/>
      <c r="G345" s="258"/>
      <c r="H345" s="258"/>
      <c r="I345" s="259"/>
    </row>
    <row r="346" spans="8:8">
      <c r="B346" s="260"/>
      <c r="C346" s="260"/>
      <c r="D346" s="260"/>
      <c r="E346" s="260"/>
      <c r="F346" s="260"/>
      <c r="G346" s="260"/>
      <c r="H346" s="260"/>
      <c r="I346" s="260"/>
    </row>
    <row r="347" spans="8:8" s="12" ht="15.0" customFormat="1">
      <c r="B347" s="229" t="s">
        <v>167</v>
      </c>
      <c r="C347" s="128"/>
      <c r="D347" s="262">
        <v>34000.0</v>
      </c>
      <c r="E347" s="128"/>
      <c r="F347" s="128"/>
      <c r="G347" s="128"/>
      <c r="H347" s="128"/>
      <c r="I347" s="188"/>
    </row>
    <row r="348" spans="8:8" s="12" ht="15.0" customFormat="1">
      <c r="B348" s="131" t="s">
        <v>168</v>
      </c>
      <c r="C348" s="127"/>
      <c r="D348" s="132" t="str">
        <f>VLOOKUP(D347,'Master Account'!$A$6:$E$69,2,FALSE)</f>
        <v>Ikhtisar Laba Rugi</v>
      </c>
      <c r="E348" s="127"/>
      <c r="F348" s="132"/>
      <c r="G348" s="231"/>
      <c r="H348" s="232"/>
      <c r="I348" s="233"/>
    </row>
    <row r="349" spans="8:8" s="12" ht="15.0" customFormat="1">
      <c r="B349" s="163"/>
      <c r="C349" s="127"/>
      <c r="D349" s="127"/>
      <c r="E349" s="127"/>
      <c r="F349" s="127"/>
      <c r="G349" s="232"/>
      <c r="H349" s="232"/>
      <c r="I349" s="233"/>
    </row>
    <row r="350" spans="8:8" s="12" ht="15.0" customFormat="1">
      <c r="B350" s="234" t="s">
        <v>132</v>
      </c>
      <c r="C350" s="235" t="s">
        <v>133</v>
      </c>
      <c r="D350" s="235" t="s">
        <v>146</v>
      </c>
      <c r="E350" s="235" t="s">
        <v>135</v>
      </c>
      <c r="F350" s="235" t="s">
        <v>136</v>
      </c>
      <c r="G350" s="236" t="s">
        <v>137</v>
      </c>
      <c r="H350" s="237" t="s">
        <v>141</v>
      </c>
      <c r="I350" s="238"/>
    </row>
    <row r="351" spans="8:8" s="12" ht="15.0" customFormat="1">
      <c r="B351" s="239"/>
      <c r="C351" s="240"/>
      <c r="D351" s="240"/>
      <c r="E351" s="240"/>
      <c r="F351" s="240"/>
      <c r="G351" s="241"/>
      <c r="H351" s="242" t="s">
        <v>136</v>
      </c>
      <c r="I351" s="243" t="s">
        <v>137</v>
      </c>
    </row>
    <row r="352" spans="8:8" s="12" ht="15.0" customFormat="1">
      <c r="B352" s="244"/>
      <c r="C352" s="245"/>
      <c r="D352" s="245" t="s">
        <v>147</v>
      </c>
      <c r="E352" s="246"/>
      <c r="F352" s="246"/>
      <c r="G352" s="247"/>
      <c r="H352" s="248">
        <f>VLOOKUP(D347,'Master Account'!$A$6:$E$69,4,FALSE)</f>
        <v>0.0</v>
      </c>
      <c r="I352" s="249">
        <f>VLOOKUP(D347,'Master Account'!$A$6:$E$69,5,FALSE)</f>
        <v>0.0</v>
      </c>
    </row>
    <row r="353" spans="8:8" s="12" ht="15.0" customFormat="1">
      <c r="B353" s="250"/>
      <c r="C353" s="251"/>
      <c r="D353" s="251" t="s">
        <v>169</v>
      </c>
      <c r="E353" s="252"/>
      <c r="F353" s="253">
        <f>SUMIF('JURNAL UMUM'!$A$8:$G$178,'BUKU BESAR'!D347,'JURNAL UMUM'!$F$8:$F$178)</f>
        <v>1.410975E8</v>
      </c>
      <c r="G353" s="253">
        <f>SUMIF('JURNAL UMUM'!$A$8:$G$178,'BUKU BESAR'!D347,'JURNAL UMUM'!$G$8:$G$178)</f>
        <v>1.410975E8</v>
      </c>
      <c r="H353" s="253">
        <f>IF(H352+F353&gt;I352+G353,((H352+F353)-(I352+G353)),0)</f>
        <v>0.0</v>
      </c>
      <c r="I353" s="254">
        <f>IF(I352+G353&gt;H352+F353,((I352+G353)-(H352+F353)),0)</f>
        <v>0.0</v>
      </c>
    </row>
    <row r="354" spans="8:8" s="12" ht="15.0" customFormat="1">
      <c r="B354" s="255"/>
      <c r="C354" s="256"/>
      <c r="D354" s="256"/>
      <c r="E354" s="256"/>
      <c r="F354" s="257"/>
      <c r="G354" s="258"/>
      <c r="H354" s="258"/>
      <c r="I354" s="259"/>
    </row>
    <row r="355" spans="8:8" s="12" ht="15.0" customFormat="1"/>
    <row r="356" spans="8:8" s="12" ht="15.0" customFormat="1"/>
    <row r="357" spans="8:8">
      <c r="B357" s="229" t="s">
        <v>167</v>
      </c>
      <c r="C357" s="128"/>
      <c r="D357" s="261">
        <v>40000.0</v>
      </c>
      <c r="E357" s="128"/>
      <c r="F357" s="128"/>
      <c r="G357" s="128"/>
      <c r="H357" s="128"/>
      <c r="I357" s="188"/>
    </row>
    <row r="358" spans="8:8">
      <c r="B358" s="131" t="s">
        <v>168</v>
      </c>
      <c r="C358" s="127"/>
      <c r="D358" s="132" t="str">
        <f>VLOOKUP(D357,'Master Account'!$A$6:$E$69,2,FALSE)</f>
        <v>PEJUALAN BERSIH</v>
      </c>
      <c r="E358" s="127"/>
      <c r="F358" s="132"/>
      <c r="G358" s="231"/>
      <c r="H358" s="232"/>
      <c r="I358" s="233"/>
    </row>
    <row r="359" spans="8:8">
      <c r="B359" s="163"/>
      <c r="C359" s="127"/>
      <c r="D359" s="127"/>
      <c r="E359" s="127"/>
      <c r="F359" s="127"/>
      <c r="G359" s="232"/>
      <c r="H359" s="232"/>
      <c r="I359" s="233"/>
    </row>
    <row r="360" spans="8:8">
      <c r="B360" s="234" t="s">
        <v>132</v>
      </c>
      <c r="C360" s="235" t="s">
        <v>133</v>
      </c>
      <c r="D360" s="235" t="s">
        <v>146</v>
      </c>
      <c r="E360" s="235" t="s">
        <v>135</v>
      </c>
      <c r="F360" s="235" t="s">
        <v>136</v>
      </c>
      <c r="G360" s="236" t="s">
        <v>137</v>
      </c>
      <c r="H360" s="237" t="s">
        <v>141</v>
      </c>
      <c r="I360" s="238"/>
    </row>
    <row r="361" spans="8:8">
      <c r="B361" s="239"/>
      <c r="C361" s="240"/>
      <c r="D361" s="240"/>
      <c r="E361" s="240"/>
      <c r="F361" s="240"/>
      <c r="G361" s="241"/>
      <c r="H361" s="242" t="s">
        <v>136</v>
      </c>
      <c r="I361" s="243" t="s">
        <v>137</v>
      </c>
    </row>
    <row r="362" spans="8:8">
      <c r="B362" s="244"/>
      <c r="C362" s="245"/>
      <c r="D362" s="245" t="s">
        <v>147</v>
      </c>
      <c r="E362" s="246"/>
      <c r="F362" s="246"/>
      <c r="G362" s="247"/>
      <c r="H362" s="248">
        <f>VLOOKUP(D357,'Master Account'!$A$6:$E$69,4,FALSE)</f>
        <v>0.0</v>
      </c>
      <c r="I362" s="249">
        <f>VLOOKUP(D357,'Master Account'!$A$6:$E$69,5,FALSE)</f>
        <v>0.0</v>
      </c>
    </row>
    <row r="363" spans="8:8">
      <c r="B363" s="250"/>
      <c r="C363" s="251"/>
      <c r="D363" s="251" t="s">
        <v>169</v>
      </c>
      <c r="E363" s="252"/>
      <c r="F363" s="253">
        <f>SUMIF('JURNAL UMUM'!$A$8:$G$178,'BUKU BESAR'!D357,'JURNAL UMUM'!$F$8:$F$178)</f>
        <v>0.0</v>
      </c>
      <c r="G363" s="253">
        <f>SUMIF('JURNAL UMUM'!$A$8:$G$178,'BUKU BESAR'!D357,'JURNAL UMUM'!$G$8:$G$178)</f>
        <v>0.0</v>
      </c>
      <c r="H363" s="253">
        <f>IF(H362+F363&gt;I362+G363,((H362+F363)-(I362+G363)),0)</f>
        <v>0.0</v>
      </c>
      <c r="I363" s="254">
        <f>IF(I362+G363&gt;H362+F363,((I362+G363)-(H362+F363)),0)</f>
        <v>0.0</v>
      </c>
    </row>
    <row r="364" spans="8:8">
      <c r="B364" s="255"/>
      <c r="C364" s="256"/>
      <c r="D364" s="256"/>
      <c r="E364" s="256"/>
      <c r="F364" s="257"/>
      <c r="G364" s="258"/>
      <c r="H364" s="258"/>
      <c r="I364" s="259"/>
    </row>
    <row r="365" spans="8:8">
      <c r="B365" s="260"/>
      <c r="C365" s="260"/>
      <c r="D365" s="260"/>
      <c r="E365" s="260"/>
      <c r="F365" s="260"/>
      <c r="G365" s="260"/>
      <c r="H365" s="260"/>
      <c r="I365" s="260"/>
    </row>
    <row r="366" spans="8:8">
      <c r="B366" s="229" t="s">
        <v>167</v>
      </c>
      <c r="C366" s="128"/>
      <c r="D366" s="230">
        <v>41000.0</v>
      </c>
      <c r="E366" s="128"/>
      <c r="F366" s="128"/>
      <c r="G366" s="128"/>
      <c r="H366" s="128"/>
      <c r="I366" s="188"/>
    </row>
    <row r="367" spans="8:8">
      <c r="B367" s="131" t="s">
        <v>168</v>
      </c>
      <c r="C367" s="127"/>
      <c r="D367" s="132" t="str">
        <f>VLOOKUP(D366,'Master Account'!$A$6:$E$69,2,FALSE)</f>
        <v>Penjualan </v>
      </c>
      <c r="E367" s="127"/>
      <c r="F367" s="132"/>
      <c r="G367" s="231"/>
      <c r="H367" s="232"/>
      <c r="I367" s="233"/>
    </row>
    <row r="368" spans="8:8">
      <c r="B368" s="163"/>
      <c r="C368" s="127"/>
      <c r="D368" s="127"/>
      <c r="E368" s="127"/>
      <c r="F368" s="127"/>
      <c r="G368" s="232"/>
      <c r="H368" s="232"/>
      <c r="I368" s="233"/>
    </row>
    <row r="369" spans="8:8">
      <c r="B369" s="234" t="s">
        <v>132</v>
      </c>
      <c r="C369" s="235" t="s">
        <v>133</v>
      </c>
      <c r="D369" s="235" t="s">
        <v>146</v>
      </c>
      <c r="E369" s="235" t="s">
        <v>135</v>
      </c>
      <c r="F369" s="235" t="s">
        <v>136</v>
      </c>
      <c r="G369" s="236" t="s">
        <v>137</v>
      </c>
      <c r="H369" s="237" t="s">
        <v>141</v>
      </c>
      <c r="I369" s="238"/>
    </row>
    <row r="370" spans="8:8">
      <c r="B370" s="239"/>
      <c r="C370" s="240"/>
      <c r="D370" s="240"/>
      <c r="E370" s="240"/>
      <c r="F370" s="240"/>
      <c r="G370" s="241"/>
      <c r="H370" s="242" t="s">
        <v>136</v>
      </c>
      <c r="I370" s="243" t="s">
        <v>137</v>
      </c>
    </row>
    <row r="371" spans="8:8">
      <c r="B371" s="244"/>
      <c r="C371" s="245"/>
      <c r="D371" s="245" t="s">
        <v>147</v>
      </c>
      <c r="E371" s="246"/>
      <c r="F371" s="246"/>
      <c r="G371" s="247"/>
      <c r="H371" s="248">
        <f>VLOOKUP(D366,'Master Account'!$A$6:$E$69,4,FALSE)</f>
        <v>0.0</v>
      </c>
      <c r="I371" s="249">
        <f>VLOOKUP(D366,'Master Account'!$A$6:$E$69,5,FALSE)</f>
        <v>0.0</v>
      </c>
    </row>
    <row r="372" spans="8:8">
      <c r="B372" s="250"/>
      <c r="C372" s="251"/>
      <c r="D372" s="251" t="s">
        <v>169</v>
      </c>
      <c r="E372" s="252"/>
      <c r="F372" s="253">
        <f>SUMIF('JURNAL UMUM'!$A$8:$G$178,'BUKU BESAR'!D366,'JURNAL UMUM'!$F$8:$F$178)</f>
        <v>1.43895E8</v>
      </c>
      <c r="G372" s="253">
        <f>SUMIF('JURNAL UMUM'!$A$8:$G$178,'BUKU BESAR'!D366,'JURNAL UMUM'!$G$8:$G$178)</f>
        <v>1.43895E8</v>
      </c>
      <c r="H372" s="253">
        <f>IF(H371+F372&gt;I371+G372,((H371+F372)-(I371+G372)),0)</f>
        <v>0.0</v>
      </c>
      <c r="I372" s="254">
        <f>IF(I371+G372&gt;H371+F372,((I371+G372)-(H371+F372)),0)</f>
        <v>0.0</v>
      </c>
    </row>
    <row r="373" spans="8:8">
      <c r="B373" s="255"/>
      <c r="C373" s="256"/>
      <c r="D373" s="256"/>
      <c r="E373" s="256"/>
      <c r="F373" s="257"/>
      <c r="G373" s="258"/>
      <c r="H373" s="258"/>
      <c r="I373" s="259"/>
    </row>
    <row r="375" spans="8:8">
      <c r="B375" s="229" t="s">
        <v>167</v>
      </c>
      <c r="C375" s="128"/>
      <c r="D375" s="230">
        <v>42000.0</v>
      </c>
      <c r="E375" s="128"/>
      <c r="F375" s="128"/>
      <c r="G375" s="128"/>
      <c r="H375" s="128"/>
      <c r="I375" s="188"/>
    </row>
    <row r="376" spans="8:8">
      <c r="B376" s="131" t="s">
        <v>168</v>
      </c>
      <c r="C376" s="127"/>
      <c r="D376" s="132" t="str">
        <f>VLOOKUP(D375,'Master Account'!$A$6:$E$69,2,FALSE)</f>
        <v>Retur Penjualan </v>
      </c>
      <c r="E376" s="127"/>
      <c r="F376" s="132"/>
      <c r="G376" s="231"/>
      <c r="H376" s="232"/>
      <c r="I376" s="233"/>
    </row>
    <row r="377" spans="8:8">
      <c r="B377" s="163"/>
      <c r="C377" s="127"/>
      <c r="D377" s="127"/>
      <c r="E377" s="127"/>
      <c r="F377" s="127"/>
      <c r="G377" s="232"/>
      <c r="H377" s="232"/>
      <c r="I377" s="233"/>
    </row>
    <row r="378" spans="8:8">
      <c r="B378" s="234" t="s">
        <v>132</v>
      </c>
      <c r="C378" s="235" t="s">
        <v>133</v>
      </c>
      <c r="D378" s="235" t="s">
        <v>146</v>
      </c>
      <c r="E378" s="235" t="s">
        <v>135</v>
      </c>
      <c r="F378" s="235" t="s">
        <v>136</v>
      </c>
      <c r="G378" s="236" t="s">
        <v>137</v>
      </c>
      <c r="H378" s="237" t="s">
        <v>141</v>
      </c>
      <c r="I378" s="238"/>
    </row>
    <row r="379" spans="8:8">
      <c r="B379" s="239"/>
      <c r="C379" s="240"/>
      <c r="D379" s="240"/>
      <c r="E379" s="240"/>
      <c r="F379" s="240"/>
      <c r="G379" s="241"/>
      <c r="H379" s="242" t="s">
        <v>136</v>
      </c>
      <c r="I379" s="243" t="s">
        <v>137</v>
      </c>
    </row>
    <row r="380" spans="8:8">
      <c r="B380" s="244"/>
      <c r="C380" s="245"/>
      <c r="D380" s="245" t="s">
        <v>147</v>
      </c>
      <c r="E380" s="246"/>
      <c r="F380" s="246"/>
      <c r="G380" s="247"/>
      <c r="H380" s="248">
        <f>VLOOKUP(D375,'Master Account'!$A$6:$E$69,4,FALSE)</f>
        <v>0.0</v>
      </c>
      <c r="I380" s="249">
        <f>VLOOKUP(D375,'Master Account'!$A$6:$E$69,5,FALSE)</f>
        <v>0.0</v>
      </c>
    </row>
    <row r="381" spans="8:8">
      <c r="B381" s="250"/>
      <c r="C381" s="251"/>
      <c r="D381" s="251" t="s">
        <v>169</v>
      </c>
      <c r="E381" s="252"/>
      <c r="F381" s="253">
        <f>SUMIF('JURNAL UMUM'!$A$8:$G$178,'BUKU BESAR'!D375,'JURNAL UMUM'!$F$8:$F$178)</f>
        <v>2125000.0</v>
      </c>
      <c r="G381" s="253">
        <f>SUMIF('JURNAL UMUM'!$A$8:$G$178,'BUKU BESAR'!D375,'JURNAL UMUM'!$G$8:$G$178)</f>
        <v>2125000.0</v>
      </c>
      <c r="H381" s="253">
        <f>IF(H380+F381&gt;I380+G381,((H380+F381)-(I380+G381)),0)</f>
        <v>0.0</v>
      </c>
      <c r="I381" s="254">
        <f>IF(I380+G381&gt;H380+F381,((I380+G381)-(H380+F381)),0)</f>
        <v>0.0</v>
      </c>
    </row>
    <row r="382" spans="8:8">
      <c r="B382" s="255"/>
      <c r="C382" s="256"/>
      <c r="D382" s="256"/>
      <c r="E382" s="256"/>
      <c r="F382" s="257"/>
      <c r="G382" s="258"/>
      <c r="H382" s="258"/>
      <c r="I382" s="259"/>
    </row>
    <row r="383" spans="8:8">
      <c r="B383" s="260"/>
      <c r="C383" s="260"/>
      <c r="D383" s="260"/>
      <c r="E383" s="260"/>
      <c r="F383" s="260"/>
      <c r="G383" s="260"/>
      <c r="H383" s="260"/>
      <c r="I383" s="260"/>
    </row>
    <row r="384" spans="8:8">
      <c r="B384" s="229" t="s">
        <v>167</v>
      </c>
      <c r="C384" s="128"/>
      <c r="D384" s="230">
        <v>43000.0</v>
      </c>
      <c r="E384" s="128"/>
      <c r="F384" s="128"/>
      <c r="G384" s="128"/>
      <c r="H384" s="128"/>
      <c r="I384" s="188"/>
    </row>
    <row r="385" spans="8:8">
      <c r="B385" s="131" t="s">
        <v>168</v>
      </c>
      <c r="C385" s="127"/>
      <c r="D385" s="132" t="str">
        <f>VLOOKUP(D384,'Master Account'!$A$6:$E$69,2,FALSE)</f>
        <v>Potongan Penjualan</v>
      </c>
      <c r="E385" s="127"/>
      <c r="F385" s="132"/>
      <c r="G385" s="231"/>
      <c r="H385" s="232"/>
      <c r="I385" s="233"/>
    </row>
    <row r="386" spans="8:8">
      <c r="B386" s="163"/>
      <c r="C386" s="127"/>
      <c r="D386" s="127"/>
      <c r="E386" s="127"/>
      <c r="F386" s="127"/>
      <c r="G386" s="232"/>
      <c r="H386" s="232"/>
      <c r="I386" s="233"/>
    </row>
    <row r="387" spans="8:8">
      <c r="B387" s="234" t="s">
        <v>132</v>
      </c>
      <c r="C387" s="235" t="s">
        <v>133</v>
      </c>
      <c r="D387" s="235" t="s">
        <v>146</v>
      </c>
      <c r="E387" s="235" t="s">
        <v>135</v>
      </c>
      <c r="F387" s="235" t="s">
        <v>136</v>
      </c>
      <c r="G387" s="236" t="s">
        <v>137</v>
      </c>
      <c r="H387" s="237" t="s">
        <v>141</v>
      </c>
      <c r="I387" s="238"/>
    </row>
    <row r="388" spans="8:8">
      <c r="B388" s="239"/>
      <c r="C388" s="240"/>
      <c r="D388" s="240"/>
      <c r="E388" s="240"/>
      <c r="F388" s="240"/>
      <c r="G388" s="241"/>
      <c r="H388" s="242" t="s">
        <v>136</v>
      </c>
      <c r="I388" s="243" t="s">
        <v>137</v>
      </c>
    </row>
    <row r="389" spans="8:8">
      <c r="B389" s="244"/>
      <c r="C389" s="245"/>
      <c r="D389" s="245" t="s">
        <v>147</v>
      </c>
      <c r="E389" s="246"/>
      <c r="F389" s="246"/>
      <c r="G389" s="247"/>
      <c r="H389" s="248">
        <f>VLOOKUP(D384,'Master Account'!$A$6:$E$69,4,FALSE)</f>
        <v>0.0</v>
      </c>
      <c r="I389" s="249">
        <f>VLOOKUP(D384,'Master Account'!$A$6:$E$69,5,FALSE)</f>
        <v>0.0</v>
      </c>
    </row>
    <row r="390" spans="8:8">
      <c r="B390" s="250"/>
      <c r="C390" s="251"/>
      <c r="D390" s="251" t="s">
        <v>169</v>
      </c>
      <c r="E390" s="252"/>
      <c r="F390" s="253">
        <f>SUMIF('JURNAL UMUM'!$A$8:$G$178,'BUKU BESAR'!D384,'JURNAL UMUM'!$F$8:$F$178)</f>
        <v>3022500.0</v>
      </c>
      <c r="G390" s="253">
        <f>SUMIF('JURNAL UMUM'!$A$8:$G$178,'BUKU BESAR'!D384,'JURNAL UMUM'!$G$8:$G$178)</f>
        <v>3022500.0</v>
      </c>
      <c r="H390" s="253">
        <f>IF(H389+F390&gt;I389+G390,((H389+F390)-(I389+G390)),0)</f>
        <v>0.0</v>
      </c>
      <c r="I390" s="254">
        <f>IF(I389+G390&gt;H389+F390,((I389+G390)-(H389+F390)),0)</f>
        <v>0.0</v>
      </c>
    </row>
    <row r="391" spans="8:8">
      <c r="B391" s="255"/>
      <c r="C391" s="256"/>
      <c r="D391" s="256"/>
      <c r="E391" s="256"/>
      <c r="F391" s="257"/>
      <c r="G391" s="258"/>
      <c r="H391" s="258"/>
      <c r="I391" s="259"/>
    </row>
    <row r="392" spans="8:8">
      <c r="B392" s="260"/>
      <c r="C392" s="260"/>
      <c r="D392" s="260"/>
      <c r="E392" s="260"/>
      <c r="F392" s="260"/>
      <c r="G392" s="260"/>
      <c r="H392" s="260"/>
      <c r="I392" s="260"/>
    </row>
    <row r="393" spans="8:8">
      <c r="B393" s="229" t="s">
        <v>167</v>
      </c>
      <c r="C393" s="128"/>
      <c r="D393" s="261">
        <v>50000.0</v>
      </c>
      <c r="E393" s="128"/>
      <c r="F393" s="128"/>
      <c r="G393" s="128"/>
      <c r="H393" s="128"/>
      <c r="I393" s="188"/>
    </row>
    <row r="394" spans="8:8">
      <c r="B394" s="131" t="s">
        <v>168</v>
      </c>
      <c r="C394" s="127"/>
      <c r="D394" s="132" t="str">
        <f>VLOOKUP(D393,'Master Account'!$A$6:$E$69,2,FALSE)</f>
        <v>HARGA POKOK</v>
      </c>
      <c r="E394" s="127"/>
      <c r="F394" s="132"/>
      <c r="G394" s="231"/>
      <c r="H394" s="232"/>
      <c r="I394" s="233"/>
    </row>
    <row r="395" spans="8:8">
      <c r="B395" s="163"/>
      <c r="C395" s="127"/>
      <c r="D395" s="127"/>
      <c r="E395" s="127"/>
      <c r="F395" s="127"/>
      <c r="G395" s="232"/>
      <c r="H395" s="232"/>
      <c r="I395" s="233"/>
    </row>
    <row r="396" spans="8:8">
      <c r="B396" s="234" t="s">
        <v>132</v>
      </c>
      <c r="C396" s="235" t="s">
        <v>133</v>
      </c>
      <c r="D396" s="235" t="s">
        <v>146</v>
      </c>
      <c r="E396" s="235" t="s">
        <v>135</v>
      </c>
      <c r="F396" s="235" t="s">
        <v>136</v>
      </c>
      <c r="G396" s="236" t="s">
        <v>137</v>
      </c>
      <c r="H396" s="237" t="s">
        <v>141</v>
      </c>
      <c r="I396" s="238"/>
    </row>
    <row r="397" spans="8:8">
      <c r="B397" s="239"/>
      <c r="C397" s="240"/>
      <c r="D397" s="240"/>
      <c r="E397" s="240"/>
      <c r="F397" s="240"/>
      <c r="G397" s="241"/>
      <c r="H397" s="242" t="s">
        <v>136</v>
      </c>
      <c r="I397" s="243" t="s">
        <v>137</v>
      </c>
    </row>
    <row r="398" spans="8:8">
      <c r="B398" s="244"/>
      <c r="C398" s="245"/>
      <c r="D398" s="245" t="s">
        <v>147</v>
      </c>
      <c r="E398" s="246"/>
      <c r="F398" s="246"/>
      <c r="G398" s="247"/>
      <c r="H398" s="248">
        <f>VLOOKUP(D393,'Master Account'!$A$6:$E$69,4,FALSE)</f>
        <v>0.0</v>
      </c>
      <c r="I398" s="249">
        <f>VLOOKUP(D393,'Master Account'!$A$6:$E$69,5,FALSE)</f>
        <v>0.0</v>
      </c>
    </row>
    <row r="399" spans="8:8">
      <c r="B399" s="250"/>
      <c r="C399" s="251"/>
      <c r="D399" s="251" t="s">
        <v>169</v>
      </c>
      <c r="E399" s="252"/>
      <c r="F399" s="253">
        <f>SUMIF('JURNAL UMUM'!$A$8:$G$178,'BUKU BESAR'!D393,'JURNAL UMUM'!$F$8:$F$178)</f>
        <v>0.0</v>
      </c>
      <c r="G399" s="253">
        <f>SUMIF('JURNAL UMUM'!$A$8:$G$178,'BUKU BESAR'!D393,'JURNAL UMUM'!$G$8:$G$178)</f>
        <v>0.0</v>
      </c>
      <c r="H399" s="253">
        <f>IF(H398+F399&gt;I398+G399,((H398+F399)-(I398+G399)),0)</f>
        <v>0.0</v>
      </c>
      <c r="I399" s="254">
        <f>IF(I398+G399&gt;H398+F399,((I398+G399)-(H398+F399)),0)</f>
        <v>0.0</v>
      </c>
    </row>
    <row r="400" spans="8:8">
      <c r="B400" s="255"/>
      <c r="C400" s="256"/>
      <c r="D400" s="256"/>
      <c r="E400" s="256"/>
      <c r="F400" s="257"/>
      <c r="G400" s="258"/>
      <c r="H400" s="258"/>
      <c r="I400" s="259"/>
    </row>
    <row r="401" spans="8:8">
      <c r="B401" s="260"/>
      <c r="C401" s="260"/>
      <c r="D401" s="260"/>
      <c r="E401" s="260"/>
      <c r="F401" s="260"/>
      <c r="G401" s="260"/>
      <c r="H401" s="260"/>
      <c r="I401" s="260"/>
    </row>
    <row r="402" spans="8:8">
      <c r="B402" s="229" t="s">
        <v>167</v>
      </c>
      <c r="C402" s="128"/>
      <c r="D402" s="230">
        <v>51000.0</v>
      </c>
      <c r="E402" s="128"/>
      <c r="F402" s="128"/>
      <c r="G402" s="128"/>
      <c r="H402" s="128"/>
      <c r="I402" s="188"/>
    </row>
    <row r="403" spans="8:8">
      <c r="B403" s="131" t="s">
        <v>168</v>
      </c>
      <c r="C403" s="127"/>
      <c r="D403" s="132" t="str">
        <f>VLOOKUP(D402,'Master Account'!$A$6:$E$69,2,FALSE)</f>
        <v>Harga Pokok Penjualan</v>
      </c>
      <c r="E403" s="127"/>
      <c r="F403" s="132"/>
      <c r="G403" s="231"/>
      <c r="H403" s="232"/>
      <c r="I403" s="233"/>
    </row>
    <row r="404" spans="8:8">
      <c r="B404" s="163"/>
      <c r="C404" s="127"/>
      <c r="D404" s="127"/>
      <c r="E404" s="127"/>
      <c r="F404" s="127"/>
      <c r="G404" s="232"/>
      <c r="H404" s="232"/>
      <c r="I404" s="233"/>
    </row>
    <row r="405" spans="8:8">
      <c r="B405" s="234" t="s">
        <v>132</v>
      </c>
      <c r="C405" s="235" t="s">
        <v>133</v>
      </c>
      <c r="D405" s="235" t="s">
        <v>146</v>
      </c>
      <c r="E405" s="235" t="s">
        <v>135</v>
      </c>
      <c r="F405" s="235" t="s">
        <v>136</v>
      </c>
      <c r="G405" s="236" t="s">
        <v>137</v>
      </c>
      <c r="H405" s="237" t="s">
        <v>141</v>
      </c>
      <c r="I405" s="238"/>
    </row>
    <row r="406" spans="8:8">
      <c r="B406" s="239"/>
      <c r="C406" s="240"/>
      <c r="D406" s="240"/>
      <c r="E406" s="240"/>
      <c r="F406" s="240"/>
      <c r="G406" s="241"/>
      <c r="H406" s="242" t="s">
        <v>136</v>
      </c>
      <c r="I406" s="243" t="s">
        <v>137</v>
      </c>
    </row>
    <row r="407" spans="8:8">
      <c r="B407" s="244"/>
      <c r="C407" s="245"/>
      <c r="D407" s="245" t="s">
        <v>147</v>
      </c>
      <c r="E407" s="246"/>
      <c r="F407" s="246"/>
      <c r="G407" s="247"/>
      <c r="H407" s="248">
        <f>VLOOKUP(D402,'Master Account'!$A$6:$E$69,4,FALSE)</f>
        <v>0.0</v>
      </c>
      <c r="I407" s="249">
        <f>VLOOKUP(D402,'Master Account'!$A$6:$E$69,5,FALSE)</f>
        <v>0.0</v>
      </c>
    </row>
    <row r="408" spans="8:8">
      <c r="B408" s="250"/>
      <c r="C408" s="251"/>
      <c r="D408" s="251" t="s">
        <v>169</v>
      </c>
      <c r="E408" s="252"/>
      <c r="F408" s="253">
        <f>SUMIF('JURNAL UMUM'!$A$8:$G$178,'BUKU BESAR'!D402,'JURNAL UMUM'!$F$8:$F$178)</f>
        <v>1.18065E8</v>
      </c>
      <c r="G408" s="253">
        <f>SUMIF('JURNAL UMUM'!$A$8:$G$178,'BUKU BESAR'!D402,'JURNAL UMUM'!$G$8:$G$178)</f>
        <v>1.18065E8</v>
      </c>
      <c r="H408" s="253">
        <f>IF(H407+F408&gt;I407+G408,((H407+F408)-(I407+G408)),0)</f>
        <v>0.0</v>
      </c>
      <c r="I408" s="254">
        <f>IF(I407+G408&gt;H407+F408,((I407+G408)-(H407+F408)),0)</f>
        <v>0.0</v>
      </c>
    </row>
    <row r="409" spans="8:8">
      <c r="B409" s="255"/>
      <c r="C409" s="256"/>
      <c r="D409" s="256"/>
      <c r="E409" s="256"/>
      <c r="F409" s="257"/>
      <c r="G409" s="258"/>
      <c r="H409" s="258"/>
      <c r="I409" s="259"/>
    </row>
    <row r="410" spans="8:8">
      <c r="B410" s="260"/>
      <c r="C410" s="260"/>
      <c r="D410" s="260"/>
      <c r="E410" s="260"/>
      <c r="F410" s="260"/>
      <c r="G410" s="260"/>
      <c r="H410" s="260"/>
      <c r="I410" s="260"/>
    </row>
    <row r="411" spans="8:8">
      <c r="B411" s="229" t="s">
        <v>167</v>
      </c>
      <c r="C411" s="128"/>
      <c r="D411" s="261">
        <v>60000.0</v>
      </c>
      <c r="E411" s="128"/>
      <c r="F411" s="128"/>
      <c r="G411" s="128"/>
      <c r="H411" s="128"/>
      <c r="I411" s="188"/>
    </row>
    <row r="412" spans="8:8">
      <c r="B412" s="131" t="s">
        <v>168</v>
      </c>
      <c r="C412" s="127"/>
      <c r="D412" s="132" t="str">
        <f>VLOOKUP(D411,'Master Account'!$A$6:$E$69,2,FALSE)</f>
        <v>BEBAN USAHA</v>
      </c>
      <c r="E412" s="127"/>
      <c r="F412" s="132"/>
      <c r="G412" s="231"/>
      <c r="H412" s="232"/>
      <c r="I412" s="233"/>
    </row>
    <row r="413" spans="8:8">
      <c r="B413" s="163"/>
      <c r="C413" s="127"/>
      <c r="D413" s="127"/>
      <c r="E413" s="127"/>
      <c r="F413" s="127"/>
      <c r="G413" s="232"/>
      <c r="H413" s="232"/>
      <c r="I413" s="233"/>
    </row>
    <row r="414" spans="8:8">
      <c r="B414" s="234" t="s">
        <v>132</v>
      </c>
      <c r="C414" s="235" t="s">
        <v>133</v>
      </c>
      <c r="D414" s="235" t="s">
        <v>146</v>
      </c>
      <c r="E414" s="235" t="s">
        <v>135</v>
      </c>
      <c r="F414" s="235" t="s">
        <v>136</v>
      </c>
      <c r="G414" s="236" t="s">
        <v>137</v>
      </c>
      <c r="H414" s="237" t="s">
        <v>141</v>
      </c>
      <c r="I414" s="238"/>
    </row>
    <row r="415" spans="8:8">
      <c r="B415" s="239"/>
      <c r="C415" s="240"/>
      <c r="D415" s="240"/>
      <c r="E415" s="240"/>
      <c r="F415" s="240"/>
      <c r="G415" s="241"/>
      <c r="H415" s="242" t="s">
        <v>136</v>
      </c>
      <c r="I415" s="243" t="s">
        <v>137</v>
      </c>
    </row>
    <row r="416" spans="8:8">
      <c r="B416" s="244"/>
      <c r="C416" s="245"/>
      <c r="D416" s="245" t="s">
        <v>147</v>
      </c>
      <c r="E416" s="246"/>
      <c r="F416" s="246"/>
      <c r="G416" s="247"/>
      <c r="H416" s="248">
        <f>VLOOKUP(D411,'Master Account'!$A$6:$E$69,4,FALSE)</f>
        <v>0.0</v>
      </c>
      <c r="I416" s="249">
        <f>VLOOKUP(D411,'Master Account'!$A$6:$E$69,5,FALSE)</f>
        <v>0.0</v>
      </c>
    </row>
    <row r="417" spans="8:8">
      <c r="B417" s="250"/>
      <c r="C417" s="251"/>
      <c r="D417" s="251" t="s">
        <v>169</v>
      </c>
      <c r="E417" s="252"/>
      <c r="F417" s="253">
        <f>SUMIF('JURNAL UMUM'!$A$8:$G$178,'BUKU BESAR'!D411,'JURNAL UMUM'!$F$8:$F$178)</f>
        <v>0.0</v>
      </c>
      <c r="G417" s="253">
        <f>SUMIF('JURNAL UMUM'!$A$8:$G$178,'BUKU BESAR'!D411,'JURNAL UMUM'!$G$8:$G$178)</f>
        <v>0.0</v>
      </c>
      <c r="H417" s="253">
        <f>IF(H416+F417&gt;I416+G417,((H416+F417)-(I416+G417)),0)</f>
        <v>0.0</v>
      </c>
      <c r="I417" s="254">
        <f>IF(I416+G417&gt;H416+F417,((I416+G417)-(H416+F417)),0)</f>
        <v>0.0</v>
      </c>
    </row>
    <row r="418" spans="8:8">
      <c r="B418" s="255"/>
      <c r="C418" s="256"/>
      <c r="D418" s="256"/>
      <c r="E418" s="256"/>
      <c r="F418" s="257"/>
      <c r="G418" s="258"/>
      <c r="H418" s="258"/>
      <c r="I418" s="259"/>
    </row>
    <row r="420" spans="8:8">
      <c r="B420" s="229" t="s">
        <v>167</v>
      </c>
      <c r="C420" s="128"/>
      <c r="D420" s="230">
        <v>61001.0</v>
      </c>
      <c r="E420" s="128"/>
      <c r="F420" s="128"/>
      <c r="G420" s="128"/>
      <c r="H420" s="128"/>
      <c r="I420" s="188"/>
    </row>
    <row r="421" spans="8:8">
      <c r="B421" s="131" t="s">
        <v>168</v>
      </c>
      <c r="C421" s="127"/>
      <c r="D421" s="132" t="str">
        <f>VLOOKUP(D420,'Master Account'!$A$6:$E$69,2,FALSE)</f>
        <v>Beban Gaji Karyawan</v>
      </c>
      <c r="E421" s="127"/>
      <c r="F421" s="132"/>
      <c r="G421" s="231"/>
      <c r="H421" s="232"/>
      <c r="I421" s="233"/>
    </row>
    <row r="422" spans="8:8">
      <c r="B422" s="163"/>
      <c r="C422" s="127"/>
      <c r="D422" s="127"/>
      <c r="E422" s="127"/>
      <c r="F422" s="127"/>
      <c r="G422" s="232"/>
      <c r="H422" s="232"/>
      <c r="I422" s="233"/>
    </row>
    <row r="423" spans="8:8">
      <c r="B423" s="234" t="s">
        <v>132</v>
      </c>
      <c r="C423" s="235" t="s">
        <v>133</v>
      </c>
      <c r="D423" s="235" t="s">
        <v>146</v>
      </c>
      <c r="E423" s="235" t="s">
        <v>135</v>
      </c>
      <c r="F423" s="235" t="s">
        <v>136</v>
      </c>
      <c r="G423" s="236" t="s">
        <v>137</v>
      </c>
      <c r="H423" s="237" t="s">
        <v>141</v>
      </c>
      <c r="I423" s="238"/>
    </row>
    <row r="424" spans="8:8">
      <c r="B424" s="239"/>
      <c r="C424" s="240"/>
      <c r="D424" s="240"/>
      <c r="E424" s="240"/>
      <c r="F424" s="240"/>
      <c r="G424" s="241"/>
      <c r="H424" s="242" t="s">
        <v>136</v>
      </c>
      <c r="I424" s="243" t="s">
        <v>137</v>
      </c>
    </row>
    <row r="425" spans="8:8">
      <c r="B425" s="244"/>
      <c r="C425" s="245"/>
      <c r="D425" s="245" t="s">
        <v>147</v>
      </c>
      <c r="E425" s="246"/>
      <c r="F425" s="246"/>
      <c r="G425" s="247"/>
      <c r="H425" s="248">
        <f>VLOOKUP(D420,'Master Account'!$A$6:$E$69,4,FALSE)</f>
        <v>0.0</v>
      </c>
      <c r="I425" s="249">
        <f>VLOOKUP(D420,'Master Account'!$A$6:$E$69,5,FALSE)</f>
        <v>0.0</v>
      </c>
    </row>
    <row r="426" spans="8:8">
      <c r="B426" s="250"/>
      <c r="C426" s="251"/>
      <c r="D426" s="251" t="s">
        <v>169</v>
      </c>
      <c r="E426" s="252"/>
      <c r="F426" s="253">
        <f>SUMIF('JURNAL UMUM'!$A$8:$G$178,'BUKU BESAR'!D420,'JURNAL UMUM'!$F$8:$F$178)</f>
        <v>1.45E7</v>
      </c>
      <c r="G426" s="253">
        <f>SUMIF('JURNAL UMUM'!$A$8:$G$178,'BUKU BESAR'!D420,'JURNAL UMUM'!$G$8:$G$178)</f>
        <v>1.45E7</v>
      </c>
      <c r="H426" s="253">
        <f>IF(H425+F426&gt;I425+G426,((H425+F426)-(I425+G426)),0)</f>
        <v>0.0</v>
      </c>
      <c r="I426" s="254">
        <f>IF(I425+G426&gt;H425+F426,((I425+G426)-(H425+F426)),0)</f>
        <v>0.0</v>
      </c>
    </row>
    <row r="427" spans="8:8">
      <c r="B427" s="255"/>
      <c r="C427" s="256"/>
      <c r="D427" s="256"/>
      <c r="E427" s="256"/>
      <c r="F427" s="257"/>
      <c r="G427" s="258"/>
      <c r="H427" s="258"/>
      <c r="I427" s="259"/>
    </row>
    <row r="428" spans="8:8">
      <c r="B428" s="260"/>
      <c r="C428" s="260"/>
      <c r="D428" s="260"/>
      <c r="E428" s="260"/>
      <c r="F428" s="260"/>
      <c r="G428" s="260"/>
      <c r="H428" s="260"/>
      <c r="I428" s="260"/>
    </row>
    <row r="429" spans="8:8">
      <c r="B429" s="229" t="s">
        <v>167</v>
      </c>
      <c r="C429" s="128"/>
      <c r="D429" s="230">
        <v>61002.0</v>
      </c>
      <c r="E429" s="128"/>
      <c r="F429" s="128"/>
      <c r="G429" s="128"/>
      <c r="H429" s="128"/>
      <c r="I429" s="188"/>
    </row>
    <row r="430" spans="8:8">
      <c r="B430" s="131" t="s">
        <v>168</v>
      </c>
      <c r="C430" s="127"/>
      <c r="D430" s="132" t="str">
        <f>VLOOKUP(D429,'Master Account'!$A$6:$E$69,2,FALSE)</f>
        <v>Beban Sewa</v>
      </c>
      <c r="E430" s="127"/>
      <c r="F430" s="132"/>
      <c r="G430" s="231"/>
      <c r="H430" s="232"/>
      <c r="I430" s="233"/>
    </row>
    <row r="431" spans="8:8">
      <c r="B431" s="163"/>
      <c r="C431" s="127"/>
      <c r="D431" s="127"/>
      <c r="E431" s="127"/>
      <c r="F431" s="127"/>
      <c r="G431" s="232"/>
      <c r="H431" s="232"/>
      <c r="I431" s="233"/>
    </row>
    <row r="432" spans="8:8">
      <c r="B432" s="234" t="s">
        <v>132</v>
      </c>
      <c r="C432" s="235" t="s">
        <v>133</v>
      </c>
      <c r="D432" s="235" t="s">
        <v>146</v>
      </c>
      <c r="E432" s="235" t="s">
        <v>135</v>
      </c>
      <c r="F432" s="235" t="s">
        <v>136</v>
      </c>
      <c r="G432" s="236" t="s">
        <v>137</v>
      </c>
      <c r="H432" s="237" t="s">
        <v>141</v>
      </c>
      <c r="I432" s="238"/>
    </row>
    <row r="433" spans="8:8">
      <c r="B433" s="239"/>
      <c r="C433" s="240"/>
      <c r="D433" s="240"/>
      <c r="E433" s="240"/>
      <c r="F433" s="240"/>
      <c r="G433" s="241"/>
      <c r="H433" s="242" t="s">
        <v>136</v>
      </c>
      <c r="I433" s="243" t="s">
        <v>137</v>
      </c>
    </row>
    <row r="434" spans="8:8">
      <c r="B434" s="244"/>
      <c r="C434" s="245"/>
      <c r="D434" s="245" t="s">
        <v>147</v>
      </c>
      <c r="E434" s="246"/>
      <c r="F434" s="246"/>
      <c r="G434" s="247"/>
      <c r="H434" s="248">
        <f>VLOOKUP(D429,'Master Account'!$A$6:$E$69,4,FALSE)</f>
        <v>0.0</v>
      </c>
      <c r="I434" s="249">
        <f>VLOOKUP(D429,'Master Account'!$A$6:$E$69,5,FALSE)</f>
        <v>0.0</v>
      </c>
    </row>
    <row r="435" spans="8:8">
      <c r="B435" s="250"/>
      <c r="C435" s="251"/>
      <c r="D435" s="251" t="s">
        <v>169</v>
      </c>
      <c r="E435" s="252"/>
      <c r="F435" s="253">
        <f>SUMIF('JURNAL UMUM'!$A$8:$G$178,'BUKU BESAR'!D429,'JURNAL UMUM'!$F$8:$F$178)</f>
        <v>2500000.0</v>
      </c>
      <c r="G435" s="253">
        <f>SUMIF('JURNAL UMUM'!$A$8:$G$178,'BUKU BESAR'!D429,'JURNAL UMUM'!$G$8:$G$178)</f>
        <v>2500000.0</v>
      </c>
      <c r="H435" s="253">
        <f>IF(H434+F435&gt;I434+G435,((H434+F435)-(I434+G435)),0)</f>
        <v>0.0</v>
      </c>
      <c r="I435" s="254">
        <f>IF(I434+G435&gt;H434+F435,((I434+G435)-(H434+F435)),0)</f>
        <v>0.0</v>
      </c>
    </row>
    <row r="436" spans="8:8">
      <c r="B436" s="255"/>
      <c r="C436" s="256"/>
      <c r="D436" s="256"/>
      <c r="E436" s="256"/>
      <c r="F436" s="257"/>
      <c r="G436" s="258"/>
      <c r="H436" s="258"/>
      <c r="I436" s="259"/>
    </row>
    <row r="437" spans="8:8">
      <c r="B437" s="260"/>
      <c r="C437" s="260"/>
      <c r="D437" s="260"/>
      <c r="E437" s="260"/>
      <c r="F437" s="260"/>
      <c r="G437" s="260"/>
      <c r="H437" s="260"/>
      <c r="I437" s="260"/>
    </row>
    <row r="438" spans="8:8">
      <c r="B438" s="229" t="s">
        <v>167</v>
      </c>
      <c r="C438" s="128"/>
      <c r="D438" s="230">
        <v>61003.0</v>
      </c>
      <c r="E438" s="128"/>
      <c r="F438" s="128"/>
      <c r="G438" s="128"/>
      <c r="H438" s="128"/>
      <c r="I438" s="188"/>
    </row>
    <row r="439" spans="8:8">
      <c r="B439" s="131" t="s">
        <v>168</v>
      </c>
      <c r="C439" s="127"/>
      <c r="D439" s="132" t="str">
        <f>VLOOKUP(D438,'Master Account'!$A$6:$E$69,2,FALSE)</f>
        <v>Beban Piutang Tak Tertagih</v>
      </c>
      <c r="E439" s="127"/>
      <c r="F439" s="132"/>
      <c r="G439" s="231"/>
      <c r="H439" s="232"/>
      <c r="I439" s="233"/>
    </row>
    <row r="440" spans="8:8">
      <c r="B440" s="163"/>
      <c r="C440" s="127"/>
      <c r="D440" s="127"/>
      <c r="E440" s="127"/>
      <c r="F440" s="127"/>
      <c r="G440" s="232"/>
      <c r="H440" s="232"/>
      <c r="I440" s="233"/>
    </row>
    <row r="441" spans="8:8">
      <c r="B441" s="234" t="s">
        <v>132</v>
      </c>
      <c r="C441" s="235" t="s">
        <v>133</v>
      </c>
      <c r="D441" s="235" t="s">
        <v>146</v>
      </c>
      <c r="E441" s="235" t="s">
        <v>135</v>
      </c>
      <c r="F441" s="235" t="s">
        <v>136</v>
      </c>
      <c r="G441" s="236" t="s">
        <v>137</v>
      </c>
      <c r="H441" s="237" t="s">
        <v>141</v>
      </c>
      <c r="I441" s="238"/>
    </row>
    <row r="442" spans="8:8">
      <c r="B442" s="239"/>
      <c r="C442" s="240"/>
      <c r="D442" s="240"/>
      <c r="E442" s="240"/>
      <c r="F442" s="240"/>
      <c r="G442" s="241"/>
      <c r="H442" s="242" t="s">
        <v>136</v>
      </c>
      <c r="I442" s="243" t="s">
        <v>137</v>
      </c>
    </row>
    <row r="443" spans="8:8">
      <c r="B443" s="244"/>
      <c r="C443" s="245"/>
      <c r="D443" s="245" t="s">
        <v>147</v>
      </c>
      <c r="E443" s="246"/>
      <c r="F443" s="246"/>
      <c r="G443" s="247"/>
      <c r="H443" s="248">
        <f>VLOOKUP(D438,'Master Account'!$A$6:$E$69,4,FALSE)</f>
        <v>0.0</v>
      </c>
      <c r="I443" s="249">
        <f>VLOOKUP(D438,'Master Account'!$A$6:$E$69,5,FALSE)</f>
        <v>0.0</v>
      </c>
    </row>
    <row r="444" spans="8:8">
      <c r="B444" s="250"/>
      <c r="C444" s="251"/>
      <c r="D444" s="251" t="s">
        <v>169</v>
      </c>
      <c r="E444" s="252"/>
      <c r="F444" s="253">
        <f>SUMIF('JURNAL UMUM'!$A$8:$G$178,'BUKU BESAR'!D438,'JURNAL UMUM'!$F$8:$F$178)</f>
        <v>2901750.0</v>
      </c>
      <c r="G444" s="253">
        <f>SUMIF('JURNAL UMUM'!$A$8:$G$178,'BUKU BESAR'!D438,'JURNAL UMUM'!$G$8:$G$178)</f>
        <v>2901750.0</v>
      </c>
      <c r="H444" s="253">
        <f>IF(H443+F444&gt;I443+G444,((H443+F444)-(I443+G444)),0)</f>
        <v>0.0</v>
      </c>
      <c r="I444" s="254">
        <f>IF(I443+G444&gt;H443+F444,((I443+G444)-(H443+F444)),0)</f>
        <v>0.0</v>
      </c>
    </row>
    <row r="445" spans="8:8">
      <c r="B445" s="255"/>
      <c r="C445" s="256"/>
      <c r="D445" s="256"/>
      <c r="E445" s="256"/>
      <c r="F445" s="257"/>
      <c r="G445" s="258"/>
      <c r="H445" s="258"/>
      <c r="I445" s="259"/>
    </row>
    <row r="446" spans="8:8">
      <c r="B446" s="260"/>
      <c r="C446" s="260"/>
      <c r="D446" s="260"/>
      <c r="E446" s="260"/>
      <c r="F446" s="260"/>
      <c r="G446" s="260"/>
      <c r="H446" s="260"/>
      <c r="I446" s="260"/>
    </row>
    <row r="447" spans="8:8">
      <c r="B447" s="229" t="s">
        <v>167</v>
      </c>
      <c r="C447" s="128"/>
      <c r="D447" s="230">
        <v>61004.0</v>
      </c>
      <c r="E447" s="128"/>
      <c r="F447" s="128"/>
      <c r="G447" s="128"/>
      <c r="H447" s="128"/>
      <c r="I447" s="188"/>
    </row>
    <row r="448" spans="8:8">
      <c r="B448" s="131" t="s">
        <v>168</v>
      </c>
      <c r="C448" s="127"/>
      <c r="D448" s="132" t="str">
        <f>VLOOKUP(D447,'Master Account'!$A$6:$E$69,2,FALSE)</f>
        <v>Beban Listrik</v>
      </c>
      <c r="E448" s="127"/>
      <c r="F448" s="132"/>
      <c r="G448" s="231"/>
      <c r="H448" s="232"/>
      <c r="I448" s="233"/>
    </row>
    <row r="449" spans="8:8">
      <c r="B449" s="163"/>
      <c r="C449" s="127"/>
      <c r="D449" s="127"/>
      <c r="E449" s="127"/>
      <c r="F449" s="127"/>
      <c r="G449" s="232"/>
      <c r="H449" s="232"/>
      <c r="I449" s="233"/>
    </row>
    <row r="450" spans="8:8">
      <c r="B450" s="234" t="s">
        <v>132</v>
      </c>
      <c r="C450" s="235" t="s">
        <v>133</v>
      </c>
      <c r="D450" s="235" t="s">
        <v>146</v>
      </c>
      <c r="E450" s="235" t="s">
        <v>135</v>
      </c>
      <c r="F450" s="235" t="s">
        <v>136</v>
      </c>
      <c r="G450" s="236" t="s">
        <v>137</v>
      </c>
      <c r="H450" s="237" t="s">
        <v>141</v>
      </c>
      <c r="I450" s="238"/>
    </row>
    <row r="451" spans="8:8">
      <c r="B451" s="239"/>
      <c r="C451" s="240"/>
      <c r="D451" s="240"/>
      <c r="E451" s="240"/>
      <c r="F451" s="240"/>
      <c r="G451" s="241"/>
      <c r="H451" s="242" t="s">
        <v>136</v>
      </c>
      <c r="I451" s="243" t="s">
        <v>137</v>
      </c>
    </row>
    <row r="452" spans="8:8">
      <c r="B452" s="244"/>
      <c r="C452" s="245"/>
      <c r="D452" s="245" t="s">
        <v>147</v>
      </c>
      <c r="E452" s="246"/>
      <c r="F452" s="246"/>
      <c r="G452" s="247"/>
      <c r="H452" s="248">
        <f>VLOOKUP(D447,'Master Account'!$A$6:$E$69,4,FALSE)</f>
        <v>0.0</v>
      </c>
      <c r="I452" s="249">
        <f>VLOOKUP(D447,'Master Account'!$A$6:$E$69,5,FALSE)</f>
        <v>0.0</v>
      </c>
    </row>
    <row r="453" spans="8:8">
      <c r="B453" s="250"/>
      <c r="C453" s="251"/>
      <c r="D453" s="251" t="s">
        <v>169</v>
      </c>
      <c r="E453" s="252"/>
      <c r="F453" s="253">
        <f>SUMIF('JURNAL UMUM'!$A$8:$G$178,'BUKU BESAR'!D447,'JURNAL UMUM'!$F$8:$F$178)</f>
        <v>175000.0</v>
      </c>
      <c r="G453" s="253">
        <f>SUMIF('JURNAL UMUM'!$A$8:$G$178,'BUKU BESAR'!D447,'JURNAL UMUM'!$G$8:$G$178)</f>
        <v>175000.0</v>
      </c>
      <c r="H453" s="253">
        <f>IF(H452+F453&gt;I452+G453,((H452+F453)-(I452+G453)),0)</f>
        <v>0.0</v>
      </c>
      <c r="I453" s="254">
        <f>IF(I452+G453&gt;H452+F453,((I452+G453)-(H452+F453)),0)</f>
        <v>0.0</v>
      </c>
    </row>
    <row r="454" spans="8:8">
      <c r="B454" s="255"/>
      <c r="C454" s="256"/>
      <c r="D454" s="256"/>
      <c r="E454" s="256"/>
      <c r="F454" s="257"/>
      <c r="G454" s="258"/>
      <c r="H454" s="258"/>
      <c r="I454" s="259"/>
    </row>
    <row r="455" spans="8:8">
      <c r="B455" s="260"/>
      <c r="C455" s="260"/>
      <c r="D455" s="260"/>
      <c r="E455" s="260"/>
      <c r="F455" s="260"/>
      <c r="G455" s="260"/>
      <c r="H455" s="260"/>
      <c r="I455" s="260"/>
    </row>
    <row r="456" spans="8:8">
      <c r="B456" s="229" t="s">
        <v>167</v>
      </c>
      <c r="C456" s="128"/>
      <c r="D456" s="230">
        <v>61005.0</v>
      </c>
      <c r="E456" s="128"/>
      <c r="F456" s="128"/>
      <c r="G456" s="128"/>
      <c r="H456" s="128"/>
      <c r="I456" s="188"/>
    </row>
    <row r="457" spans="8:8">
      <c r="B457" s="131" t="s">
        <v>168</v>
      </c>
      <c r="C457" s="127"/>
      <c r="D457" s="132" t="str">
        <f>VLOOKUP(D456,'Master Account'!$A$6:$E$69,2,FALSE)</f>
        <v>Beban Telepon</v>
      </c>
      <c r="E457" s="127"/>
      <c r="F457" s="132"/>
      <c r="G457" s="231"/>
      <c r="H457" s="232"/>
      <c r="I457" s="233"/>
    </row>
    <row r="458" spans="8:8">
      <c r="B458" s="163"/>
      <c r="C458" s="127"/>
      <c r="D458" s="127"/>
      <c r="E458" s="127"/>
      <c r="F458" s="127"/>
      <c r="G458" s="232"/>
      <c r="H458" s="232"/>
      <c r="I458" s="233"/>
    </row>
    <row r="459" spans="8:8">
      <c r="B459" s="234" t="s">
        <v>132</v>
      </c>
      <c r="C459" s="235" t="s">
        <v>133</v>
      </c>
      <c r="D459" s="235" t="s">
        <v>146</v>
      </c>
      <c r="E459" s="235" t="s">
        <v>135</v>
      </c>
      <c r="F459" s="235" t="s">
        <v>136</v>
      </c>
      <c r="G459" s="236" t="s">
        <v>137</v>
      </c>
      <c r="H459" s="237" t="s">
        <v>141</v>
      </c>
      <c r="I459" s="238"/>
    </row>
    <row r="460" spans="8:8">
      <c r="B460" s="239"/>
      <c r="C460" s="240"/>
      <c r="D460" s="240"/>
      <c r="E460" s="240"/>
      <c r="F460" s="240"/>
      <c r="G460" s="241"/>
      <c r="H460" s="242" t="s">
        <v>136</v>
      </c>
      <c r="I460" s="243" t="s">
        <v>137</v>
      </c>
    </row>
    <row r="461" spans="8:8">
      <c r="B461" s="244"/>
      <c r="C461" s="245"/>
      <c r="D461" s="245" t="s">
        <v>147</v>
      </c>
      <c r="E461" s="246"/>
      <c r="F461" s="246"/>
      <c r="G461" s="247"/>
      <c r="H461" s="248">
        <f>VLOOKUP(D456,'Master Account'!$A$6:$E$69,4,FALSE)</f>
        <v>0.0</v>
      </c>
      <c r="I461" s="249">
        <f>VLOOKUP(D456,'Master Account'!$A$6:$E$69,5,FALSE)</f>
        <v>0.0</v>
      </c>
    </row>
    <row r="462" spans="8:8">
      <c r="B462" s="250"/>
      <c r="C462" s="251"/>
      <c r="D462" s="251" t="s">
        <v>169</v>
      </c>
      <c r="E462" s="252"/>
      <c r="F462" s="253">
        <f>SUMIF('JURNAL UMUM'!$A$8:$G$178,'BUKU BESAR'!D456,'JURNAL UMUM'!$F$8:$F$178)</f>
        <v>212500.0</v>
      </c>
      <c r="G462" s="253">
        <f>SUMIF('JURNAL UMUM'!$A$8:$G$178,'BUKU BESAR'!D456,'JURNAL UMUM'!$G$8:$G$178)</f>
        <v>212500.0</v>
      </c>
      <c r="H462" s="253">
        <f>IF(H461+F462&gt;I461+G462,((H461+F462)-(I461+G462)),0)</f>
        <v>0.0</v>
      </c>
      <c r="I462" s="254">
        <f>IF(I461+G462&gt;H461+F462,((I461+G462)-(H461+F462)),0)</f>
        <v>0.0</v>
      </c>
    </row>
    <row r="463" spans="8:8">
      <c r="B463" s="255"/>
      <c r="C463" s="256"/>
      <c r="D463" s="256"/>
      <c r="E463" s="256"/>
      <c r="F463" s="257"/>
      <c r="G463" s="258"/>
      <c r="H463" s="258"/>
      <c r="I463" s="259"/>
    </row>
    <row r="465" spans="8:8">
      <c r="B465" s="229" t="s">
        <v>167</v>
      </c>
      <c r="C465" s="128"/>
      <c r="D465" s="230">
        <v>61006.0</v>
      </c>
      <c r="E465" s="128"/>
      <c r="F465" s="128"/>
      <c r="G465" s="128"/>
      <c r="H465" s="128"/>
      <c r="I465" s="188"/>
    </row>
    <row r="466" spans="8:8">
      <c r="B466" s="131" t="s">
        <v>168</v>
      </c>
      <c r="C466" s="127"/>
      <c r="D466" s="132" t="str">
        <f>VLOOKUP(D465,'Master Account'!$A$6:$E$69,2,FALSE)</f>
        <v>Beban Penyusutan Peralatan Kantor</v>
      </c>
      <c r="E466" s="127"/>
      <c r="F466" s="132"/>
      <c r="G466" s="231"/>
      <c r="H466" s="232"/>
      <c r="I466" s="233"/>
    </row>
    <row r="467" spans="8:8">
      <c r="B467" s="163"/>
      <c r="C467" s="127"/>
      <c r="D467" s="127"/>
      <c r="E467" s="127"/>
      <c r="F467" s="127"/>
      <c r="G467" s="232"/>
      <c r="H467" s="232"/>
      <c r="I467" s="233"/>
    </row>
    <row r="468" spans="8:8">
      <c r="B468" s="234" t="s">
        <v>132</v>
      </c>
      <c r="C468" s="235" t="s">
        <v>133</v>
      </c>
      <c r="D468" s="235" t="s">
        <v>146</v>
      </c>
      <c r="E468" s="235" t="s">
        <v>135</v>
      </c>
      <c r="F468" s="235" t="s">
        <v>136</v>
      </c>
      <c r="G468" s="236" t="s">
        <v>137</v>
      </c>
      <c r="H468" s="237" t="s">
        <v>141</v>
      </c>
      <c r="I468" s="238"/>
    </row>
    <row r="469" spans="8:8">
      <c r="B469" s="239"/>
      <c r="C469" s="240"/>
      <c r="D469" s="240"/>
      <c r="E469" s="240"/>
      <c r="F469" s="240"/>
      <c r="G469" s="241"/>
      <c r="H469" s="242" t="s">
        <v>136</v>
      </c>
      <c r="I469" s="243" t="s">
        <v>137</v>
      </c>
    </row>
    <row r="470" spans="8:8">
      <c r="B470" s="244"/>
      <c r="C470" s="245"/>
      <c r="D470" s="245" t="s">
        <v>147</v>
      </c>
      <c r="E470" s="246"/>
      <c r="F470" s="246"/>
      <c r="G470" s="247"/>
      <c r="H470" s="248">
        <f>VLOOKUP(D465,'Master Account'!$A$6:$E$69,4,FALSE)</f>
        <v>0.0</v>
      </c>
      <c r="I470" s="249">
        <f>VLOOKUP(D465,'Master Account'!$A$6:$E$69,5,FALSE)</f>
        <v>0.0</v>
      </c>
    </row>
    <row r="471" spans="8:8">
      <c r="B471" s="250"/>
      <c r="C471" s="251"/>
      <c r="D471" s="251" t="s">
        <v>169</v>
      </c>
      <c r="E471" s="252"/>
      <c r="F471" s="253">
        <f>SUMIF('JURNAL UMUM'!$A$8:$G$178,'BUKU BESAR'!D465,'JURNAL UMUM'!$F$8:$F$178)</f>
        <v>400000.0</v>
      </c>
      <c r="G471" s="253">
        <f>SUMIF('JURNAL UMUM'!$A$8:$G$178,'BUKU BESAR'!D465,'JURNAL UMUM'!$G$8:$G$178)</f>
        <v>400000.0</v>
      </c>
      <c r="H471" s="253">
        <f>IF(H470+F471&gt;I470+G471,((H470+F471)-(I470+G471)),0)</f>
        <v>0.0</v>
      </c>
      <c r="I471" s="254">
        <f>IF(I470+G471&gt;H470+F471,((I470+G471)-(H470+F471)),0)</f>
        <v>0.0</v>
      </c>
    </row>
    <row r="472" spans="8:8">
      <c r="B472" s="255"/>
      <c r="C472" s="256"/>
      <c r="D472" s="256"/>
      <c r="E472" s="256"/>
      <c r="F472" s="257"/>
      <c r="G472" s="258"/>
      <c r="H472" s="258"/>
      <c r="I472" s="259"/>
    </row>
    <row r="473" spans="8:8">
      <c r="B473" s="260"/>
      <c r="C473" s="260"/>
      <c r="D473" s="260"/>
      <c r="E473" s="260"/>
      <c r="F473" s="260"/>
      <c r="G473" s="260"/>
      <c r="H473" s="260"/>
      <c r="I473" s="260"/>
    </row>
    <row r="474" spans="8:8">
      <c r="B474" s="229" t="s">
        <v>167</v>
      </c>
      <c r="C474" s="128"/>
      <c r="D474" s="230">
        <v>61007.0</v>
      </c>
      <c r="E474" s="128"/>
      <c r="F474" s="128"/>
      <c r="G474" s="128"/>
      <c r="H474" s="128"/>
      <c r="I474" s="188"/>
    </row>
    <row r="475" spans="8:8">
      <c r="B475" s="131" t="s">
        <v>168</v>
      </c>
      <c r="C475" s="127"/>
      <c r="D475" s="132" t="str">
        <f>VLOOKUP(D474,'Master Account'!$A$6:$E$69,2,FALSE)</f>
        <v>Beban Penyusutan Kendaraan</v>
      </c>
      <c r="E475" s="127"/>
      <c r="F475" s="132"/>
      <c r="G475" s="231"/>
      <c r="H475" s="232"/>
      <c r="I475" s="233"/>
    </row>
    <row r="476" spans="8:8">
      <c r="B476" s="163"/>
      <c r="C476" s="127"/>
      <c r="D476" s="127"/>
      <c r="E476" s="127"/>
      <c r="F476" s="127"/>
      <c r="G476" s="232"/>
      <c r="H476" s="232"/>
      <c r="I476" s="233"/>
    </row>
    <row r="477" spans="8:8">
      <c r="B477" s="234" t="s">
        <v>132</v>
      </c>
      <c r="C477" s="235" t="s">
        <v>133</v>
      </c>
      <c r="D477" s="235" t="s">
        <v>146</v>
      </c>
      <c r="E477" s="235" t="s">
        <v>135</v>
      </c>
      <c r="F477" s="235" t="s">
        <v>136</v>
      </c>
      <c r="G477" s="236" t="s">
        <v>137</v>
      </c>
      <c r="H477" s="237" t="s">
        <v>141</v>
      </c>
      <c r="I477" s="238"/>
    </row>
    <row r="478" spans="8:8">
      <c r="B478" s="239"/>
      <c r="C478" s="240"/>
      <c r="D478" s="240"/>
      <c r="E478" s="240"/>
      <c r="F478" s="240"/>
      <c r="G478" s="241"/>
      <c r="H478" s="242" t="s">
        <v>136</v>
      </c>
      <c r="I478" s="243" t="s">
        <v>137</v>
      </c>
    </row>
    <row r="479" spans="8:8">
      <c r="B479" s="244"/>
      <c r="C479" s="245"/>
      <c r="D479" s="245" t="s">
        <v>147</v>
      </c>
      <c r="E479" s="246"/>
      <c r="F479" s="246"/>
      <c r="G479" s="247"/>
      <c r="H479" s="248">
        <f>VLOOKUP(D474,'Master Account'!$A$6:$E$69,4,FALSE)</f>
        <v>0.0</v>
      </c>
      <c r="I479" s="249">
        <f>VLOOKUP(D474,'Master Account'!$A$6:$E$69,5,FALSE)</f>
        <v>0.0</v>
      </c>
    </row>
    <row r="480" spans="8:8">
      <c r="B480" s="250"/>
      <c r="C480" s="251"/>
      <c r="D480" s="251" t="s">
        <v>169</v>
      </c>
      <c r="E480" s="252"/>
      <c r="F480" s="253">
        <f>SUMIF('JURNAL UMUM'!$A$8:$G$178,'BUKU BESAR'!D474,'JURNAL UMUM'!$F$8:$F$178)</f>
        <v>500000.0</v>
      </c>
      <c r="G480" s="253">
        <f>SUMIF('JURNAL UMUM'!$A$8:$G$178,'BUKU BESAR'!D474,'JURNAL UMUM'!$G$8:$G$178)</f>
        <v>500000.0</v>
      </c>
      <c r="H480" s="253">
        <f>IF(H479+F480&gt;I479+G480,((H479+F480)-(I479+G480)),0)</f>
        <v>0.0</v>
      </c>
      <c r="I480" s="254">
        <f>IF(I479+G480&gt;H479+F480,((I479+G480)-(H479+F480)),0)</f>
        <v>0.0</v>
      </c>
    </row>
    <row r="481" spans="8:8">
      <c r="B481" s="255"/>
      <c r="C481" s="256"/>
      <c r="D481" s="256"/>
      <c r="E481" s="256"/>
      <c r="F481" s="257"/>
      <c r="G481" s="258"/>
      <c r="H481" s="258"/>
      <c r="I481" s="259"/>
    </row>
    <row r="482" spans="8:8">
      <c r="B482" s="260"/>
      <c r="C482" s="260"/>
      <c r="D482" s="260"/>
      <c r="E482" s="260"/>
      <c r="F482" s="260"/>
      <c r="G482" s="260"/>
      <c r="H482" s="260"/>
      <c r="I482" s="260"/>
    </row>
    <row r="483" spans="8:8">
      <c r="B483" s="229" t="s">
        <v>167</v>
      </c>
      <c r="C483" s="128"/>
      <c r="D483" s="230">
        <v>61008.0</v>
      </c>
      <c r="E483" s="128"/>
      <c r="F483" s="128"/>
      <c r="G483" s="128"/>
      <c r="H483" s="128"/>
      <c r="I483" s="188"/>
    </row>
    <row r="484" spans="8:8">
      <c r="B484" s="131" t="s">
        <v>168</v>
      </c>
      <c r="C484" s="127"/>
      <c r="D484" s="132" t="str">
        <f>VLOOKUP(D483,'Master Account'!$A$6:$E$69,2,FALSE)</f>
        <v>Beban Pemasaran</v>
      </c>
      <c r="E484" s="127"/>
      <c r="F484" s="132"/>
      <c r="G484" s="231"/>
      <c r="H484" s="232"/>
      <c r="I484" s="233"/>
    </row>
    <row r="485" spans="8:8">
      <c r="B485" s="163"/>
      <c r="C485" s="127"/>
      <c r="D485" s="127"/>
      <c r="E485" s="127"/>
      <c r="F485" s="127"/>
      <c r="G485" s="232"/>
      <c r="H485" s="232"/>
      <c r="I485" s="233"/>
    </row>
    <row r="486" spans="8:8">
      <c r="B486" s="234" t="s">
        <v>132</v>
      </c>
      <c r="C486" s="235" t="s">
        <v>133</v>
      </c>
      <c r="D486" s="235" t="s">
        <v>146</v>
      </c>
      <c r="E486" s="235" t="s">
        <v>135</v>
      </c>
      <c r="F486" s="235" t="s">
        <v>136</v>
      </c>
      <c r="G486" s="236" t="s">
        <v>137</v>
      </c>
      <c r="H486" s="237" t="s">
        <v>141</v>
      </c>
      <c r="I486" s="238"/>
    </row>
    <row r="487" spans="8:8">
      <c r="B487" s="239"/>
      <c r="C487" s="240"/>
      <c r="D487" s="240"/>
      <c r="E487" s="240"/>
      <c r="F487" s="240"/>
      <c r="G487" s="241"/>
      <c r="H487" s="242" t="s">
        <v>136</v>
      </c>
      <c r="I487" s="243" t="s">
        <v>137</v>
      </c>
    </row>
    <row r="488" spans="8:8">
      <c r="B488" s="244"/>
      <c r="C488" s="245"/>
      <c r="D488" s="245" t="s">
        <v>147</v>
      </c>
      <c r="E488" s="246"/>
      <c r="F488" s="246"/>
      <c r="G488" s="247"/>
      <c r="H488" s="248">
        <f>VLOOKUP(D483,'Master Account'!$A$6:$E$69,4,FALSE)</f>
        <v>0.0</v>
      </c>
      <c r="I488" s="249">
        <f>VLOOKUP(D483,'Master Account'!$A$6:$E$69,5,FALSE)</f>
        <v>0.0</v>
      </c>
    </row>
    <row r="489" spans="8:8">
      <c r="B489" s="250"/>
      <c r="C489" s="251"/>
      <c r="D489" s="251" t="s">
        <v>169</v>
      </c>
      <c r="E489" s="252"/>
      <c r="F489" s="253">
        <f>SUMIF('JURNAL UMUM'!$A$8:$G$178,'BUKU BESAR'!D483,'JURNAL UMUM'!$F$8:$F$178)</f>
        <v>750000.0</v>
      </c>
      <c r="G489" s="253">
        <f>SUMIF('JURNAL UMUM'!$A$8:$G$178,'BUKU BESAR'!D483,'JURNAL UMUM'!$G$8:$G$178)</f>
        <v>750000.0</v>
      </c>
      <c r="H489" s="253">
        <f>IF(H488+F489&gt;I488+G489,((H488+F489)-(I488+G489)),0)</f>
        <v>0.0</v>
      </c>
      <c r="I489" s="254">
        <f>IF(I488+G489&gt;H488+F489,((I488+G489)-(H488+F489)),0)</f>
        <v>0.0</v>
      </c>
    </row>
    <row r="490" spans="8:8">
      <c r="B490" s="255"/>
      <c r="C490" s="256"/>
      <c r="D490" s="256"/>
      <c r="E490" s="256"/>
      <c r="F490" s="257"/>
      <c r="G490" s="258"/>
      <c r="H490" s="258"/>
      <c r="I490" s="259"/>
    </row>
    <row r="491" spans="8:8">
      <c r="B491" s="260"/>
      <c r="C491" s="260"/>
      <c r="D491" s="260"/>
      <c r="E491" s="260"/>
      <c r="F491" s="260"/>
      <c r="G491" s="260"/>
      <c r="H491" s="260"/>
      <c r="I491" s="260"/>
    </row>
    <row r="492" spans="8:8">
      <c r="B492" s="229" t="s">
        <v>167</v>
      </c>
      <c r="C492" s="128"/>
      <c r="D492" s="230">
        <v>61009.0</v>
      </c>
      <c r="E492" s="128"/>
      <c r="F492" s="128"/>
      <c r="G492" s="128"/>
      <c r="H492" s="128"/>
      <c r="I492" s="188"/>
    </row>
    <row r="493" spans="8:8">
      <c r="B493" s="131" t="s">
        <v>168</v>
      </c>
      <c r="C493" s="127"/>
      <c r="D493" s="132" t="str">
        <f>VLOOKUP(D492,'Master Account'!$A$6:$E$69,2,FALSE)</f>
        <v>Beban Transportasi</v>
      </c>
      <c r="E493" s="127"/>
      <c r="F493" s="132"/>
      <c r="G493" s="231"/>
      <c r="H493" s="232"/>
      <c r="I493" s="233"/>
    </row>
    <row r="494" spans="8:8">
      <c r="B494" s="163"/>
      <c r="C494" s="127"/>
      <c r="D494" s="127"/>
      <c r="E494" s="127"/>
      <c r="F494" s="127"/>
      <c r="G494" s="232"/>
      <c r="H494" s="232"/>
      <c r="I494" s="233"/>
    </row>
    <row r="495" spans="8:8">
      <c r="B495" s="234" t="s">
        <v>132</v>
      </c>
      <c r="C495" s="235" t="s">
        <v>133</v>
      </c>
      <c r="D495" s="235" t="s">
        <v>146</v>
      </c>
      <c r="E495" s="235" t="s">
        <v>135</v>
      </c>
      <c r="F495" s="235" t="s">
        <v>136</v>
      </c>
      <c r="G495" s="236" t="s">
        <v>137</v>
      </c>
      <c r="H495" s="237" t="s">
        <v>141</v>
      </c>
      <c r="I495" s="238"/>
    </row>
    <row r="496" spans="8:8">
      <c r="B496" s="239"/>
      <c r="C496" s="240"/>
      <c r="D496" s="240"/>
      <c r="E496" s="240"/>
      <c r="F496" s="240"/>
      <c r="G496" s="241"/>
      <c r="H496" s="242" t="s">
        <v>136</v>
      </c>
      <c r="I496" s="243" t="s">
        <v>137</v>
      </c>
    </row>
    <row r="497" spans="8:8">
      <c r="B497" s="244"/>
      <c r="C497" s="245"/>
      <c r="D497" s="245" t="s">
        <v>147</v>
      </c>
      <c r="E497" s="246"/>
      <c r="F497" s="246"/>
      <c r="G497" s="247"/>
      <c r="H497" s="248">
        <f>VLOOKUP(D492,'Master Account'!$A$6:$E$69,4,FALSE)</f>
        <v>0.0</v>
      </c>
      <c r="I497" s="249">
        <f>VLOOKUP(D492,'Master Account'!$A$6:$E$69,5,FALSE)</f>
        <v>0.0</v>
      </c>
    </row>
    <row r="498" spans="8:8">
      <c r="B498" s="250"/>
      <c r="C498" s="251"/>
      <c r="D498" s="251" t="s">
        <v>169</v>
      </c>
      <c r="E498" s="252"/>
      <c r="F498" s="253">
        <f>SUMIF('JURNAL UMUM'!$A$8:$G$178,'BUKU BESAR'!D492,'JURNAL UMUM'!$F$8:$F$178)</f>
        <v>250000.0</v>
      </c>
      <c r="G498" s="253">
        <f>SUMIF('JURNAL UMUM'!$A$8:$G$178,'BUKU BESAR'!D492,'JURNAL UMUM'!$G$8:$G$178)</f>
        <v>250000.0</v>
      </c>
      <c r="H498" s="253">
        <f>IF(H497+F498&gt;I497+G498,((H497+F498)-(I497+G498)),0)</f>
        <v>0.0</v>
      </c>
      <c r="I498" s="254">
        <f>IF(I497+G498&gt;H497+F498,((I497+G498)-(H497+F498)),0)</f>
        <v>0.0</v>
      </c>
    </row>
    <row r="499" spans="8:8">
      <c r="B499" s="255"/>
      <c r="C499" s="256"/>
      <c r="D499" s="256"/>
      <c r="E499" s="256"/>
      <c r="F499" s="257"/>
      <c r="G499" s="258"/>
      <c r="H499" s="258"/>
      <c r="I499" s="259"/>
    </row>
    <row r="500" spans="8:8">
      <c r="B500" s="260"/>
      <c r="C500" s="260"/>
      <c r="D500" s="260"/>
      <c r="E500" s="260"/>
      <c r="F500" s="260"/>
      <c r="G500" s="260"/>
      <c r="H500" s="260"/>
      <c r="I500" s="260"/>
    </row>
    <row r="501" spans="8:8">
      <c r="B501" s="229" t="s">
        <v>167</v>
      </c>
      <c r="C501" s="128"/>
      <c r="D501" s="230">
        <v>61010.0</v>
      </c>
      <c r="E501" s="128"/>
      <c r="F501" s="128"/>
      <c r="G501" s="128"/>
      <c r="H501" s="128"/>
      <c r="I501" s="188"/>
    </row>
    <row r="502" spans="8:8">
      <c r="B502" s="131" t="s">
        <v>168</v>
      </c>
      <c r="C502" s="127"/>
      <c r="D502" s="132" t="str">
        <f>VLOOKUP(D501,'Master Account'!$A$6:$E$69,2,FALSE)</f>
        <v>Beban Perawatan AC</v>
      </c>
      <c r="E502" s="127"/>
      <c r="F502" s="132"/>
      <c r="G502" s="231"/>
      <c r="H502" s="232"/>
      <c r="I502" s="233"/>
    </row>
    <row r="503" spans="8:8">
      <c r="B503" s="163"/>
      <c r="C503" s="127"/>
      <c r="D503" s="127"/>
      <c r="E503" s="127"/>
      <c r="F503" s="127"/>
      <c r="G503" s="232"/>
      <c r="H503" s="232"/>
      <c r="I503" s="233"/>
    </row>
    <row r="504" spans="8:8">
      <c r="B504" s="234" t="s">
        <v>132</v>
      </c>
      <c r="C504" s="235" t="s">
        <v>133</v>
      </c>
      <c r="D504" s="235" t="s">
        <v>146</v>
      </c>
      <c r="E504" s="235" t="s">
        <v>135</v>
      </c>
      <c r="F504" s="235" t="s">
        <v>136</v>
      </c>
      <c r="G504" s="236" t="s">
        <v>137</v>
      </c>
      <c r="H504" s="237" t="s">
        <v>141</v>
      </c>
      <c r="I504" s="238"/>
    </row>
    <row r="505" spans="8:8">
      <c r="B505" s="239"/>
      <c r="C505" s="240"/>
      <c r="D505" s="240"/>
      <c r="E505" s="240"/>
      <c r="F505" s="240"/>
      <c r="G505" s="241"/>
      <c r="H505" s="242" t="s">
        <v>136</v>
      </c>
      <c r="I505" s="243" t="s">
        <v>137</v>
      </c>
    </row>
    <row r="506" spans="8:8">
      <c r="B506" s="244"/>
      <c r="C506" s="245"/>
      <c r="D506" s="245" t="s">
        <v>147</v>
      </c>
      <c r="E506" s="246"/>
      <c r="F506" s="246"/>
      <c r="G506" s="247"/>
      <c r="H506" s="248">
        <f>VLOOKUP(D501,'Master Account'!$A$6:$E$69,4,FALSE)</f>
        <v>0.0</v>
      </c>
      <c r="I506" s="249">
        <f>VLOOKUP(D501,'Master Account'!$A$6:$E$69,5,FALSE)</f>
        <v>0.0</v>
      </c>
    </row>
    <row r="507" spans="8:8">
      <c r="B507" s="250"/>
      <c r="C507" s="251"/>
      <c r="D507" s="251" t="s">
        <v>169</v>
      </c>
      <c r="E507" s="252"/>
      <c r="F507" s="253">
        <f>SUMIF('JURNAL UMUM'!$A$8:$G$178,'BUKU BESAR'!D501,'JURNAL UMUM'!$F$8:$F$178)</f>
        <v>200000.0</v>
      </c>
      <c r="G507" s="253">
        <f>SUMIF('JURNAL UMUM'!$A$8:$G$178,'BUKU BESAR'!D501,'JURNAL UMUM'!$G$8:$G$178)</f>
        <v>200000.0</v>
      </c>
      <c r="H507" s="253">
        <f>IF(H506+F507&gt;I506+G507,((H506+F507)-(I506+G507)),0)</f>
        <v>0.0</v>
      </c>
      <c r="I507" s="254">
        <f>IF(I506+G507&gt;H506+F507,((I506+G507)-(H506+F507)),0)</f>
        <v>0.0</v>
      </c>
    </row>
    <row r="508" spans="8:8">
      <c r="B508" s="255"/>
      <c r="C508" s="256"/>
      <c r="D508" s="256"/>
      <c r="E508" s="256"/>
      <c r="F508" s="257"/>
      <c r="G508" s="258"/>
      <c r="H508" s="258"/>
      <c r="I508" s="259"/>
    </row>
    <row r="510" spans="8:8">
      <c r="B510" s="229" t="s">
        <v>167</v>
      </c>
      <c r="C510" s="128"/>
      <c r="D510" s="230">
        <v>61011.0</v>
      </c>
      <c r="E510" s="128"/>
      <c r="F510" s="128"/>
      <c r="G510" s="128"/>
      <c r="H510" s="128"/>
      <c r="I510" s="188"/>
    </row>
    <row r="511" spans="8:8">
      <c r="B511" s="131" t="s">
        <v>168</v>
      </c>
      <c r="C511" s="127"/>
      <c r="D511" s="132" t="str">
        <f>VLOOKUP(D510,'Master Account'!$A$6:$E$69,2,FALSE)</f>
        <v>Beban Perlengkapan Kantor</v>
      </c>
      <c r="E511" s="127"/>
      <c r="F511" s="132"/>
      <c r="G511" s="231"/>
      <c r="H511" s="232"/>
      <c r="I511" s="233"/>
    </row>
    <row r="512" spans="8:8">
      <c r="B512" s="163"/>
      <c r="C512" s="127"/>
      <c r="D512" s="127"/>
      <c r="E512" s="127"/>
      <c r="F512" s="127"/>
      <c r="G512" s="232"/>
      <c r="H512" s="232"/>
      <c r="I512" s="233"/>
    </row>
    <row r="513" spans="8:8">
      <c r="B513" s="234" t="s">
        <v>132</v>
      </c>
      <c r="C513" s="235" t="s">
        <v>133</v>
      </c>
      <c r="D513" s="235" t="s">
        <v>146</v>
      </c>
      <c r="E513" s="235" t="s">
        <v>135</v>
      </c>
      <c r="F513" s="235" t="s">
        <v>136</v>
      </c>
      <c r="G513" s="236" t="s">
        <v>137</v>
      </c>
      <c r="H513" s="237" t="s">
        <v>141</v>
      </c>
      <c r="I513" s="238"/>
    </row>
    <row r="514" spans="8:8">
      <c r="B514" s="239"/>
      <c r="C514" s="240"/>
      <c r="D514" s="240"/>
      <c r="E514" s="240"/>
      <c r="F514" s="240"/>
      <c r="G514" s="241"/>
      <c r="H514" s="242" t="s">
        <v>136</v>
      </c>
      <c r="I514" s="243" t="s">
        <v>137</v>
      </c>
    </row>
    <row r="515" spans="8:8">
      <c r="B515" s="244"/>
      <c r="C515" s="245"/>
      <c r="D515" s="245" t="s">
        <v>147</v>
      </c>
      <c r="E515" s="246"/>
      <c r="F515" s="246"/>
      <c r="G515" s="247"/>
      <c r="H515" s="248">
        <f>VLOOKUP(D510,'Master Account'!$A$6:$E$69,4,FALSE)</f>
        <v>0.0</v>
      </c>
      <c r="I515" s="249">
        <f>VLOOKUP(D510,'Master Account'!$A$6:$E$69,5,FALSE)</f>
        <v>0.0</v>
      </c>
    </row>
    <row r="516" spans="8:8">
      <c r="B516" s="250"/>
      <c r="C516" s="251"/>
      <c r="D516" s="251" t="s">
        <v>169</v>
      </c>
      <c r="E516" s="252"/>
      <c r="F516" s="253">
        <f>SUMIF('JURNAL UMUM'!$A$8:$G$178,'BUKU BESAR'!D510,'JURNAL UMUM'!$F$8:$F$178)</f>
        <v>50000.0</v>
      </c>
      <c r="G516" s="253">
        <f>SUMIF('JURNAL UMUM'!$A$8:$G$178,'BUKU BESAR'!D510,'JURNAL UMUM'!$G$8:$G$178)</f>
        <v>50000.0</v>
      </c>
      <c r="H516" s="253">
        <f>IF(H515+F516&gt;I515+G516,((H515+F516)-(I515+G516)),0)</f>
        <v>0.0</v>
      </c>
      <c r="I516" s="254">
        <f>IF(I515+G516&gt;H515+F516,((I515+G516)-(H515+F516)),0)</f>
        <v>0.0</v>
      </c>
    </row>
    <row r="517" spans="8:8">
      <c r="B517" s="255"/>
      <c r="C517" s="256"/>
      <c r="D517" s="256"/>
      <c r="E517" s="256"/>
      <c r="F517" s="257"/>
      <c r="G517" s="258"/>
      <c r="H517" s="258"/>
      <c r="I517" s="259"/>
    </row>
    <row r="518" spans="8:8">
      <c r="B518" s="260"/>
      <c r="C518" s="260"/>
      <c r="D518" s="260"/>
      <c r="E518" s="260"/>
      <c r="F518" s="260"/>
      <c r="G518" s="260"/>
      <c r="H518" s="260"/>
      <c r="I518" s="260"/>
    </row>
    <row r="519" spans="8:8">
      <c r="B519" s="229" t="s">
        <v>167</v>
      </c>
      <c r="C519" s="128"/>
      <c r="D519" s="230">
        <v>61099.0</v>
      </c>
      <c r="E519" s="128"/>
      <c r="F519" s="128"/>
      <c r="G519" s="128"/>
      <c r="H519" s="128"/>
      <c r="I519" s="188"/>
    </row>
    <row r="520" spans="8:8">
      <c r="B520" s="131" t="s">
        <v>168</v>
      </c>
      <c r="C520" s="127"/>
      <c r="D520" s="132" t="str">
        <f>VLOOKUP(D519,'Master Account'!$A$6:$E$69,2,FALSE)</f>
        <v>Beban Umum Lain-Lain</v>
      </c>
      <c r="E520" s="127"/>
      <c r="F520" s="132"/>
      <c r="G520" s="231"/>
      <c r="H520" s="232"/>
      <c r="I520" s="233"/>
    </row>
    <row r="521" spans="8:8">
      <c r="B521" s="163"/>
      <c r="C521" s="127"/>
      <c r="D521" s="127"/>
      <c r="E521" s="127"/>
      <c r="F521" s="127"/>
      <c r="G521" s="232"/>
      <c r="H521" s="232"/>
      <c r="I521" s="233"/>
    </row>
    <row r="522" spans="8:8">
      <c r="B522" s="234" t="s">
        <v>132</v>
      </c>
      <c r="C522" s="235" t="s">
        <v>133</v>
      </c>
      <c r="D522" s="235" t="s">
        <v>146</v>
      </c>
      <c r="E522" s="235" t="s">
        <v>135</v>
      </c>
      <c r="F522" s="235" t="s">
        <v>136</v>
      </c>
      <c r="G522" s="236" t="s">
        <v>137</v>
      </c>
      <c r="H522" s="237" t="s">
        <v>141</v>
      </c>
      <c r="I522" s="238"/>
    </row>
    <row r="523" spans="8:8">
      <c r="B523" s="239"/>
      <c r="C523" s="240"/>
      <c r="D523" s="240"/>
      <c r="E523" s="240"/>
      <c r="F523" s="240"/>
      <c r="G523" s="241"/>
      <c r="H523" s="242" t="s">
        <v>136</v>
      </c>
      <c r="I523" s="243" t="s">
        <v>137</v>
      </c>
    </row>
    <row r="524" spans="8:8">
      <c r="B524" s="244"/>
      <c r="C524" s="245"/>
      <c r="D524" s="245" t="s">
        <v>147</v>
      </c>
      <c r="E524" s="246"/>
      <c r="F524" s="246"/>
      <c r="G524" s="247"/>
      <c r="H524" s="248">
        <f>VLOOKUP(D519,'Master Account'!$A$6:$E$69,4,FALSE)</f>
        <v>0.0</v>
      </c>
      <c r="I524" s="249">
        <f>VLOOKUP(D519,'Master Account'!$A$6:$E$69,5,FALSE)</f>
        <v>0.0</v>
      </c>
    </row>
    <row r="525" spans="8:8">
      <c r="B525" s="250"/>
      <c r="C525" s="251"/>
      <c r="D525" s="251" t="s">
        <v>169</v>
      </c>
      <c r="E525" s="252"/>
      <c r="F525" s="253">
        <f>SUMIF('JURNAL UMUM'!$A$8:$G$178,'BUKU BESAR'!D519,'JURNAL UMUM'!$F$8:$F$178)</f>
        <v>0.0</v>
      </c>
      <c r="G525" s="253">
        <f>SUMIF('JURNAL UMUM'!$A$8:$G$178,'BUKU BESAR'!D519,'JURNAL UMUM'!$G$8:$G$178)</f>
        <v>0.0</v>
      </c>
      <c r="H525" s="253">
        <f>IF(H524+F525&gt;I524+G525,((H524+F525)-(I524+G525)),0)</f>
        <v>0.0</v>
      </c>
      <c r="I525" s="254">
        <f>IF(I524+G525&gt;H524+F525,((I524+G525)-(H524+F525)),0)</f>
        <v>0.0</v>
      </c>
    </row>
    <row r="526" spans="8:8">
      <c r="B526" s="255"/>
      <c r="C526" s="256"/>
      <c r="D526" s="256"/>
      <c r="E526" s="256"/>
      <c r="F526" s="257"/>
      <c r="G526" s="258"/>
      <c r="H526" s="258"/>
      <c r="I526" s="259"/>
    </row>
    <row r="527" spans="8:8">
      <c r="B527" s="260"/>
      <c r="C527" s="260"/>
      <c r="D527" s="260"/>
      <c r="E527" s="260"/>
      <c r="F527" s="260"/>
      <c r="G527" s="260"/>
      <c r="H527" s="260"/>
      <c r="I527" s="260"/>
    </row>
    <row r="528" spans="8:8">
      <c r="B528" s="229" t="s">
        <v>167</v>
      </c>
      <c r="C528" s="128"/>
      <c r="D528" s="261">
        <v>80000.0</v>
      </c>
      <c r="E528" s="128"/>
      <c r="F528" s="128"/>
      <c r="G528" s="128"/>
      <c r="H528" s="128"/>
      <c r="I528" s="188"/>
    </row>
    <row r="529" spans="8:8">
      <c r="B529" s="131" t="s">
        <v>168</v>
      </c>
      <c r="C529" s="127"/>
      <c r="D529" s="132" t="str">
        <f>VLOOKUP(D528,'Master Account'!$A$6:$E$69,2,FALSE)</f>
        <v>PENDAPATAN LUAR USAHA</v>
      </c>
      <c r="E529" s="127"/>
      <c r="F529" s="132"/>
      <c r="G529" s="231"/>
      <c r="H529" s="232"/>
      <c r="I529" s="233"/>
    </row>
    <row r="530" spans="8:8">
      <c r="B530" s="163"/>
      <c r="C530" s="127"/>
      <c r="D530" s="127"/>
      <c r="E530" s="127"/>
      <c r="F530" s="127"/>
      <c r="G530" s="232"/>
      <c r="H530" s="232"/>
      <c r="I530" s="233"/>
    </row>
    <row r="531" spans="8:8">
      <c r="B531" s="234" t="s">
        <v>132</v>
      </c>
      <c r="C531" s="235" t="s">
        <v>133</v>
      </c>
      <c r="D531" s="235" t="s">
        <v>146</v>
      </c>
      <c r="E531" s="235" t="s">
        <v>135</v>
      </c>
      <c r="F531" s="235" t="s">
        <v>136</v>
      </c>
      <c r="G531" s="236" t="s">
        <v>137</v>
      </c>
      <c r="H531" s="237" t="s">
        <v>141</v>
      </c>
      <c r="I531" s="238"/>
    </row>
    <row r="532" spans="8:8">
      <c r="B532" s="239"/>
      <c r="C532" s="240"/>
      <c r="D532" s="240"/>
      <c r="E532" s="240"/>
      <c r="F532" s="240"/>
      <c r="G532" s="241"/>
      <c r="H532" s="242" t="s">
        <v>136</v>
      </c>
      <c r="I532" s="243" t="s">
        <v>137</v>
      </c>
    </row>
    <row r="533" spans="8:8">
      <c r="B533" s="244"/>
      <c r="C533" s="245"/>
      <c r="D533" s="245" t="s">
        <v>147</v>
      </c>
      <c r="E533" s="246"/>
      <c r="F533" s="246"/>
      <c r="G533" s="247"/>
      <c r="H533" s="248">
        <f>VLOOKUP(D528,'Master Account'!$A$6:$E$69,4,FALSE)</f>
        <v>0.0</v>
      </c>
      <c r="I533" s="249">
        <f>VLOOKUP(D528,'Master Account'!$A$6:$E$69,5,FALSE)</f>
        <v>0.0</v>
      </c>
    </row>
    <row r="534" spans="8:8">
      <c r="B534" s="250"/>
      <c r="C534" s="251"/>
      <c r="D534" s="251" t="s">
        <v>169</v>
      </c>
      <c r="E534" s="252"/>
      <c r="F534" s="253">
        <f>SUMIF('JURNAL UMUM'!$A$8:$G$178,'BUKU BESAR'!D528,'JURNAL UMUM'!$F$8:$F$178)</f>
        <v>0.0</v>
      </c>
      <c r="G534" s="253">
        <f>SUMIF('JURNAL UMUM'!$A$8:$G$178,'BUKU BESAR'!D528,'JURNAL UMUM'!$G$8:$G$178)</f>
        <v>0.0</v>
      </c>
      <c r="H534" s="253">
        <f>IF(H533+F534&gt;I533+G534,((H533+F534)-(I533+G534)),0)</f>
        <v>0.0</v>
      </c>
      <c r="I534" s="254">
        <f>IF(I533+G534&gt;H533+F534,((I533+G534)-(H533+F534)),0)</f>
        <v>0.0</v>
      </c>
    </row>
    <row r="535" spans="8:8">
      <c r="B535" s="255"/>
      <c r="C535" s="256"/>
      <c r="D535" s="256"/>
      <c r="E535" s="256"/>
      <c r="F535" s="257"/>
      <c r="G535" s="258"/>
      <c r="H535" s="258"/>
      <c r="I535" s="259"/>
    </row>
    <row r="536" spans="8:8">
      <c r="B536" s="260"/>
      <c r="C536" s="260"/>
      <c r="D536" s="260"/>
      <c r="E536" s="260"/>
      <c r="F536" s="260"/>
      <c r="G536" s="260"/>
      <c r="H536" s="260"/>
      <c r="I536" s="260"/>
    </row>
    <row r="537" spans="8:8">
      <c r="B537" s="229" t="s">
        <v>167</v>
      </c>
      <c r="C537" s="128"/>
      <c r="D537" s="230">
        <v>81001.0</v>
      </c>
      <c r="E537" s="128"/>
      <c r="F537" s="128"/>
      <c r="G537" s="128"/>
      <c r="H537" s="128"/>
      <c r="I537" s="188"/>
    </row>
    <row r="538" spans="8:8">
      <c r="B538" s="131" t="s">
        <v>168</v>
      </c>
      <c r="C538" s="127"/>
      <c r="D538" s="132" t="str">
        <f>VLOOKUP(D537,'Master Account'!$A$6:$E$69,2,FALSE)</f>
        <v>Laba Penjualan Aktiva Tetap</v>
      </c>
      <c r="E538" s="127"/>
      <c r="F538" s="132"/>
      <c r="G538" s="231"/>
      <c r="H538" s="232"/>
      <c r="I538" s="233"/>
    </row>
    <row r="539" spans="8:8">
      <c r="B539" s="163"/>
      <c r="C539" s="127"/>
      <c r="D539" s="127"/>
      <c r="E539" s="127"/>
      <c r="F539" s="127"/>
      <c r="G539" s="232"/>
      <c r="H539" s="232"/>
      <c r="I539" s="233"/>
    </row>
    <row r="540" spans="8:8">
      <c r="B540" s="234" t="s">
        <v>132</v>
      </c>
      <c r="C540" s="235" t="s">
        <v>133</v>
      </c>
      <c r="D540" s="235" t="s">
        <v>146</v>
      </c>
      <c r="E540" s="235" t="s">
        <v>135</v>
      </c>
      <c r="F540" s="235" t="s">
        <v>136</v>
      </c>
      <c r="G540" s="236" t="s">
        <v>137</v>
      </c>
      <c r="H540" s="237" t="s">
        <v>141</v>
      </c>
      <c r="I540" s="238"/>
    </row>
    <row r="541" spans="8:8">
      <c r="B541" s="239"/>
      <c r="C541" s="240"/>
      <c r="D541" s="240"/>
      <c r="E541" s="240"/>
      <c r="F541" s="240"/>
      <c r="G541" s="241"/>
      <c r="H541" s="242" t="s">
        <v>136</v>
      </c>
      <c r="I541" s="243" t="s">
        <v>137</v>
      </c>
    </row>
    <row r="542" spans="8:8">
      <c r="B542" s="244"/>
      <c r="C542" s="245"/>
      <c r="D542" s="245" t="s">
        <v>147</v>
      </c>
      <c r="E542" s="246"/>
      <c r="F542" s="246"/>
      <c r="G542" s="247"/>
      <c r="H542" s="248">
        <f>VLOOKUP(D537,'Master Account'!$A$6:$E$69,4,FALSE)</f>
        <v>0.0</v>
      </c>
      <c r="I542" s="249">
        <f>VLOOKUP(D537,'Master Account'!$A$6:$E$69,5,FALSE)</f>
        <v>0.0</v>
      </c>
    </row>
    <row r="543" spans="8:8">
      <c r="B543" s="250"/>
      <c r="C543" s="251"/>
      <c r="D543" s="251" t="s">
        <v>169</v>
      </c>
      <c r="E543" s="252"/>
      <c r="F543" s="253">
        <f>SUMIF('JURNAL UMUM'!$A$8:$G$178,'BUKU BESAR'!D537,'JURNAL UMUM'!$F$8:$F$178)</f>
        <v>1000000.0</v>
      </c>
      <c r="G543" s="253">
        <f>SUMIF('JURNAL UMUM'!$A$8:$G$178,'BUKU BESAR'!D537,'JURNAL UMUM'!$G$8:$G$178)</f>
        <v>1000000.0</v>
      </c>
      <c r="H543" s="253">
        <f>IF(H542+F543&gt;I542+G543,((H542+F543)-(I542+G543)),0)</f>
        <v>0.0</v>
      </c>
      <c r="I543" s="254">
        <f>IF(I542+G543&gt;H542+F543,((I542+G543)-(H542+F543)),0)</f>
        <v>0.0</v>
      </c>
    </row>
    <row r="544" spans="8:8">
      <c r="B544" s="255"/>
      <c r="C544" s="256"/>
      <c r="D544" s="256"/>
      <c r="E544" s="256"/>
      <c r="F544" s="257"/>
      <c r="G544" s="258"/>
      <c r="H544" s="258"/>
      <c r="I544" s="259"/>
    </row>
    <row r="545" spans="8:8">
      <c r="B545" s="260"/>
      <c r="C545" s="260"/>
      <c r="D545" s="260"/>
      <c r="E545" s="260"/>
      <c r="F545" s="260"/>
      <c r="G545" s="260"/>
      <c r="H545" s="260"/>
      <c r="I545" s="260"/>
    </row>
    <row r="546" spans="8:8">
      <c r="B546" s="229" t="s">
        <v>167</v>
      </c>
      <c r="C546" s="128"/>
      <c r="D546" s="230">
        <v>81002.0</v>
      </c>
      <c r="E546" s="128"/>
      <c r="F546" s="128"/>
      <c r="G546" s="128"/>
      <c r="H546" s="128"/>
      <c r="I546" s="188"/>
    </row>
    <row r="547" spans="8:8">
      <c r="B547" s="131" t="s">
        <v>168</v>
      </c>
      <c r="C547" s="127"/>
      <c r="D547" s="132" t="str">
        <f>VLOOKUP(D546,'Master Account'!$A$6:$E$69,2,FALSE)</f>
        <v>Pendapatan Jasa Giro</v>
      </c>
      <c r="E547" s="127"/>
      <c r="F547" s="132"/>
      <c r="G547" s="231"/>
      <c r="H547" s="232"/>
      <c r="I547" s="233"/>
    </row>
    <row r="548" spans="8:8">
      <c r="B548" s="163"/>
      <c r="C548" s="127"/>
      <c r="D548" s="127"/>
      <c r="E548" s="127"/>
      <c r="F548" s="127"/>
      <c r="G548" s="232"/>
      <c r="H548" s="232"/>
      <c r="I548" s="233"/>
    </row>
    <row r="549" spans="8:8">
      <c r="B549" s="234" t="s">
        <v>132</v>
      </c>
      <c r="C549" s="235" t="s">
        <v>133</v>
      </c>
      <c r="D549" s="235" t="s">
        <v>146</v>
      </c>
      <c r="E549" s="235" t="s">
        <v>135</v>
      </c>
      <c r="F549" s="235" t="s">
        <v>136</v>
      </c>
      <c r="G549" s="236" t="s">
        <v>137</v>
      </c>
      <c r="H549" s="237" t="s">
        <v>141</v>
      </c>
      <c r="I549" s="238"/>
    </row>
    <row r="550" spans="8:8">
      <c r="B550" s="239"/>
      <c r="C550" s="240"/>
      <c r="D550" s="240"/>
      <c r="E550" s="240"/>
      <c r="F550" s="240"/>
      <c r="G550" s="241"/>
      <c r="H550" s="242" t="s">
        <v>136</v>
      </c>
      <c r="I550" s="243" t="s">
        <v>137</v>
      </c>
    </row>
    <row r="551" spans="8:8">
      <c r="B551" s="244"/>
      <c r="C551" s="245"/>
      <c r="D551" s="245" t="s">
        <v>147</v>
      </c>
      <c r="E551" s="246"/>
      <c r="F551" s="246"/>
      <c r="G551" s="247"/>
      <c r="H551" s="248">
        <f>VLOOKUP(D546,'Master Account'!$A$6:$E$69,4,FALSE)</f>
        <v>0.0</v>
      </c>
      <c r="I551" s="249">
        <f>VLOOKUP(D546,'Master Account'!$A$6:$E$69,5,FALSE)</f>
        <v>0.0</v>
      </c>
    </row>
    <row r="552" spans="8:8">
      <c r="B552" s="250"/>
      <c r="C552" s="251"/>
      <c r="D552" s="251" t="s">
        <v>169</v>
      </c>
      <c r="E552" s="252"/>
      <c r="F552" s="253">
        <f>SUMIF('JURNAL UMUM'!$A$8:$G$178,'BUKU BESAR'!D546,'JURNAL UMUM'!$F$8:$F$178)</f>
        <v>1350000.0</v>
      </c>
      <c r="G552" s="253">
        <f>SUMIF('JURNAL UMUM'!$A$8:$G$178,'BUKU BESAR'!D546,'JURNAL UMUM'!$G$8:$G$178)</f>
        <v>1350000.0</v>
      </c>
      <c r="H552" s="253">
        <f>IF(H551+F552&gt;I551+G552,((H551+F552)-(I551+G552)),0)</f>
        <v>0.0</v>
      </c>
      <c r="I552" s="254">
        <f>IF(I551+G552&gt;H551+F552,((I551+G552)-(H551+F552)),0)</f>
        <v>0.0</v>
      </c>
    </row>
    <row r="553" spans="8:8">
      <c r="B553" s="255"/>
      <c r="C553" s="256"/>
      <c r="D553" s="256"/>
      <c r="E553" s="256"/>
      <c r="F553" s="257"/>
      <c r="G553" s="258"/>
      <c r="H553" s="258"/>
      <c r="I553" s="259"/>
    </row>
    <row r="555" spans="8:8">
      <c r="B555" s="229" t="s">
        <v>167</v>
      </c>
      <c r="C555" s="128"/>
      <c r="D555" s="261">
        <v>90000.0</v>
      </c>
      <c r="E555" s="128"/>
      <c r="F555" s="128"/>
      <c r="G555" s="128"/>
      <c r="H555" s="128"/>
      <c r="I555" s="188"/>
    </row>
    <row r="556" spans="8:8">
      <c r="B556" s="131" t="s">
        <v>168</v>
      </c>
      <c r="C556" s="127"/>
      <c r="D556" s="132" t="str">
        <f>VLOOKUP(D555,'Master Account'!$A$6:$E$69,2,FALSE)</f>
        <v>BEBAN LUAR USAHA</v>
      </c>
      <c r="E556" s="127"/>
      <c r="F556" s="132"/>
      <c r="G556" s="231"/>
      <c r="H556" s="232"/>
      <c r="I556" s="233"/>
    </row>
    <row r="557" spans="8:8">
      <c r="B557" s="163"/>
      <c r="C557" s="127"/>
      <c r="D557" s="127"/>
      <c r="E557" s="127"/>
      <c r="F557" s="127"/>
      <c r="G557" s="232"/>
      <c r="H557" s="232"/>
      <c r="I557" s="233"/>
    </row>
    <row r="558" spans="8:8">
      <c r="B558" s="234" t="s">
        <v>132</v>
      </c>
      <c r="C558" s="235" t="s">
        <v>133</v>
      </c>
      <c r="D558" s="235" t="s">
        <v>146</v>
      </c>
      <c r="E558" s="235" t="s">
        <v>135</v>
      </c>
      <c r="F558" s="235" t="s">
        <v>136</v>
      </c>
      <c r="G558" s="236" t="s">
        <v>137</v>
      </c>
      <c r="H558" s="237" t="s">
        <v>141</v>
      </c>
      <c r="I558" s="238"/>
    </row>
    <row r="559" spans="8:8">
      <c r="B559" s="239"/>
      <c r="C559" s="240"/>
      <c r="D559" s="240"/>
      <c r="E559" s="240"/>
      <c r="F559" s="240"/>
      <c r="G559" s="241"/>
      <c r="H559" s="242" t="s">
        <v>136</v>
      </c>
      <c r="I559" s="243" t="s">
        <v>137</v>
      </c>
    </row>
    <row r="560" spans="8:8">
      <c r="B560" s="244"/>
      <c r="C560" s="245"/>
      <c r="D560" s="245" t="s">
        <v>147</v>
      </c>
      <c r="E560" s="246"/>
      <c r="F560" s="246"/>
      <c r="G560" s="247"/>
      <c r="H560" s="248">
        <f>VLOOKUP(D555,'Master Account'!$A$6:$E$69,4,FALSE)</f>
        <v>0.0</v>
      </c>
      <c r="I560" s="249">
        <f>VLOOKUP(D555,'Master Account'!$A$6:$E$69,5,FALSE)</f>
        <v>0.0</v>
      </c>
    </row>
    <row r="561" spans="8:8">
      <c r="B561" s="250"/>
      <c r="C561" s="251"/>
      <c r="D561" s="251" t="s">
        <v>169</v>
      </c>
      <c r="E561" s="252"/>
      <c r="F561" s="253">
        <f>SUMIF('JURNAL UMUM'!$A$8:$G$178,'BUKU BESAR'!D555,'JURNAL UMUM'!$F$8:$F$178)</f>
        <v>0.0</v>
      </c>
      <c r="G561" s="253">
        <f>SUMIF('JURNAL UMUM'!$A$8:$G$178,'BUKU BESAR'!D555,'JURNAL UMUM'!$G$8:$G$178)</f>
        <v>0.0</v>
      </c>
      <c r="H561" s="253">
        <f>IF(H560+F561&gt;I560+G561,((H560+F561)-(I560+G561)),0)</f>
        <v>0.0</v>
      </c>
      <c r="I561" s="254">
        <f>IF(I560+G561&gt;H560+F561,((I560+G561)-(H560+F561)),0)</f>
        <v>0.0</v>
      </c>
    </row>
    <row r="562" spans="8:8">
      <c r="B562" s="255"/>
      <c r="C562" s="256"/>
      <c r="D562" s="256"/>
      <c r="E562" s="256"/>
      <c r="F562" s="257"/>
      <c r="G562" s="258"/>
      <c r="H562" s="258"/>
      <c r="I562" s="259"/>
    </row>
    <row r="563" spans="8:8">
      <c r="B563" s="260"/>
      <c r="C563" s="260"/>
      <c r="D563" s="260"/>
      <c r="E563" s="260"/>
      <c r="F563" s="260"/>
      <c r="G563" s="260"/>
      <c r="H563" s="260"/>
      <c r="I563" s="260"/>
    </row>
    <row r="564" spans="8:8">
      <c r="B564" s="229" t="s">
        <v>167</v>
      </c>
      <c r="C564" s="128"/>
      <c r="D564" s="230">
        <v>91001.0</v>
      </c>
      <c r="E564" s="128"/>
      <c r="F564" s="128"/>
      <c r="G564" s="128"/>
      <c r="H564" s="128"/>
      <c r="I564" s="188"/>
    </row>
    <row r="565" spans="8:8">
      <c r="B565" s="131" t="s">
        <v>168</v>
      </c>
      <c r="C565" s="127"/>
      <c r="D565" s="132" t="str">
        <f>VLOOKUP(D564,'Master Account'!$A$6:$E$69,2,FALSE)</f>
        <v>Beban Administrasi Bank</v>
      </c>
      <c r="E565" s="127"/>
      <c r="F565" s="132"/>
      <c r="G565" s="231"/>
      <c r="H565" s="232"/>
      <c r="I565" s="233"/>
    </row>
    <row r="566" spans="8:8">
      <c r="B566" s="163"/>
      <c r="C566" s="127"/>
      <c r="D566" s="127"/>
      <c r="E566" s="127"/>
      <c r="F566" s="127"/>
      <c r="G566" s="232"/>
      <c r="H566" s="232"/>
      <c r="I566" s="233"/>
    </row>
    <row r="567" spans="8:8">
      <c r="B567" s="234" t="s">
        <v>132</v>
      </c>
      <c r="C567" s="235" t="s">
        <v>133</v>
      </c>
      <c r="D567" s="235" t="s">
        <v>146</v>
      </c>
      <c r="E567" s="235" t="s">
        <v>135</v>
      </c>
      <c r="F567" s="235" t="s">
        <v>136</v>
      </c>
      <c r="G567" s="236" t="s">
        <v>137</v>
      </c>
      <c r="H567" s="237" t="s">
        <v>141</v>
      </c>
      <c r="I567" s="238"/>
    </row>
    <row r="568" spans="8:8">
      <c r="B568" s="239"/>
      <c r="C568" s="240"/>
      <c r="D568" s="240"/>
      <c r="E568" s="240"/>
      <c r="F568" s="240"/>
      <c r="G568" s="241"/>
      <c r="H568" s="242" t="s">
        <v>136</v>
      </c>
      <c r="I568" s="243" t="s">
        <v>137</v>
      </c>
    </row>
    <row r="569" spans="8:8">
      <c r="B569" s="244"/>
      <c r="C569" s="245"/>
      <c r="D569" s="245" t="s">
        <v>147</v>
      </c>
      <c r="E569" s="246"/>
      <c r="F569" s="246"/>
      <c r="G569" s="247"/>
      <c r="H569" s="248">
        <f>VLOOKUP(D564,'Master Account'!$A$6:$E$69,4,FALSE)</f>
        <v>0.0</v>
      </c>
      <c r="I569" s="249">
        <f>VLOOKUP(D564,'Master Account'!$A$6:$E$69,5,FALSE)</f>
        <v>0.0</v>
      </c>
    </row>
    <row r="570" spans="8:8">
      <c r="B570" s="250"/>
      <c r="C570" s="251"/>
      <c r="D570" s="251" t="s">
        <v>169</v>
      </c>
      <c r="E570" s="252"/>
      <c r="F570" s="253">
        <f>SUMIF('JURNAL UMUM'!$A$8:$G$178,'BUKU BESAR'!D564,'JURNAL UMUM'!$F$8:$F$178)</f>
        <v>150000.0</v>
      </c>
      <c r="G570" s="253">
        <f>SUMIF('JURNAL UMUM'!$A$8:$G$178,'BUKU BESAR'!D564,'JURNAL UMUM'!$G$8:$G$178)</f>
        <v>150000.0</v>
      </c>
      <c r="H570" s="253">
        <f>IF(H569+F570&gt;I569+G570,((H569+F570)-(I569+G570)),0)</f>
        <v>0.0</v>
      </c>
      <c r="I570" s="254">
        <f>IF(I569+G570&gt;H569+F570,((I569+G570)-(H569+F570)),0)</f>
        <v>0.0</v>
      </c>
    </row>
    <row r="571" spans="8:8">
      <c r="B571" s="255"/>
      <c r="C571" s="256"/>
      <c r="D571" s="256"/>
      <c r="E571" s="256"/>
      <c r="F571" s="257"/>
      <c r="G571" s="258"/>
      <c r="H571" s="258"/>
      <c r="I571" s="259"/>
    </row>
    <row r="572" spans="8:8">
      <c r="B572" s="260"/>
      <c r="C572" s="260"/>
      <c r="D572" s="260"/>
      <c r="E572" s="260"/>
      <c r="F572" s="260"/>
      <c r="G572" s="260"/>
      <c r="H572" s="260"/>
      <c r="I572" s="260"/>
    </row>
    <row r="573" spans="8:8">
      <c r="B573" s="229" t="s">
        <v>167</v>
      </c>
      <c r="C573" s="128"/>
      <c r="D573" s="230">
        <v>91002.0</v>
      </c>
      <c r="E573" s="128"/>
      <c r="F573" s="128"/>
      <c r="G573" s="128"/>
      <c r="H573" s="128"/>
      <c r="I573" s="188"/>
    </row>
    <row r="574" spans="8:8">
      <c r="B574" s="131" t="s">
        <v>168</v>
      </c>
      <c r="C574" s="127"/>
      <c r="D574" s="132" t="str">
        <f>VLOOKUP(D573,'Master Account'!$A$6:$E$69,2,FALSE)</f>
        <v>Beban Bunga</v>
      </c>
      <c r="E574" s="127"/>
      <c r="F574" s="132"/>
      <c r="G574" s="231"/>
      <c r="H574" s="232"/>
      <c r="I574" s="233"/>
    </row>
    <row r="575" spans="8:8">
      <c r="B575" s="163"/>
      <c r="C575" s="127"/>
      <c r="D575" s="127"/>
      <c r="E575" s="127"/>
      <c r="F575" s="127"/>
      <c r="G575" s="232"/>
      <c r="H575" s="232"/>
      <c r="I575" s="233"/>
    </row>
    <row r="576" spans="8:8">
      <c r="B576" s="234" t="s">
        <v>132</v>
      </c>
      <c r="C576" s="235" t="s">
        <v>133</v>
      </c>
      <c r="D576" s="235" t="s">
        <v>146</v>
      </c>
      <c r="E576" s="235" t="s">
        <v>135</v>
      </c>
      <c r="F576" s="235" t="s">
        <v>136</v>
      </c>
      <c r="G576" s="236" t="s">
        <v>137</v>
      </c>
      <c r="H576" s="237" t="s">
        <v>141</v>
      </c>
      <c r="I576" s="238"/>
    </row>
    <row r="577" spans="8:8">
      <c r="B577" s="239"/>
      <c r="C577" s="240"/>
      <c r="D577" s="240"/>
      <c r="E577" s="240"/>
      <c r="F577" s="240"/>
      <c r="G577" s="241"/>
      <c r="H577" s="242" t="s">
        <v>136</v>
      </c>
      <c r="I577" s="243" t="s">
        <v>137</v>
      </c>
    </row>
    <row r="578" spans="8:8">
      <c r="B578" s="244"/>
      <c r="C578" s="245"/>
      <c r="D578" s="245" t="s">
        <v>147</v>
      </c>
      <c r="E578" s="246"/>
      <c r="F578" s="246"/>
      <c r="G578" s="247"/>
      <c r="H578" s="248">
        <f>VLOOKUP(D573,'Master Account'!$A$6:$E$69,4,FALSE)</f>
        <v>0.0</v>
      </c>
      <c r="I578" s="249">
        <f>VLOOKUP(D573,'Master Account'!$A$6:$E$69,5,FALSE)</f>
        <v>0.0</v>
      </c>
    </row>
    <row r="579" spans="8:8">
      <c r="B579" s="250"/>
      <c r="C579" s="251"/>
      <c r="D579" s="251" t="s">
        <v>169</v>
      </c>
      <c r="E579" s="252"/>
      <c r="F579" s="253">
        <f>SUMIF('JURNAL UMUM'!$A$8:$G$178,'BUKU BESAR'!D573,'JURNAL UMUM'!$F$8:$F$178)</f>
        <v>750000.0</v>
      </c>
      <c r="G579" s="253">
        <f>SUMIF('JURNAL UMUM'!$A$8:$G$178,'BUKU BESAR'!D573,'JURNAL UMUM'!$G$8:$G$178)</f>
        <v>750000.0</v>
      </c>
      <c r="H579" s="253">
        <f>IF(H578+F579&gt;I578+G579,((H578+F579)-(I578+G579)),0)</f>
        <v>0.0</v>
      </c>
      <c r="I579" s="254">
        <f>IF(I578+G579&gt;H578+F579,((I578+G579)-(H578+F579)),0)</f>
        <v>0.0</v>
      </c>
    </row>
    <row r="580" spans="8:8">
      <c r="B580" s="255"/>
      <c r="C580" s="256"/>
      <c r="D580" s="256"/>
      <c r="E580" s="256"/>
      <c r="F580" s="257"/>
      <c r="G580" s="258"/>
      <c r="H580" s="258"/>
      <c r="I580" s="259"/>
    </row>
  </sheetData>
  <mergeCells count="450">
    <mergeCell ref="F179:F180"/>
    <mergeCell ref="C576:C577"/>
    <mergeCell ref="G378:G379"/>
    <mergeCell ref="B251:B252"/>
    <mergeCell ref="H98:I98"/>
    <mergeCell ref="C89:C90"/>
    <mergeCell ref="B215:B216"/>
    <mergeCell ref="C179:C180"/>
    <mergeCell ref="D80:D81"/>
    <mergeCell ref="F269:F270"/>
    <mergeCell ref="G134:G135"/>
    <mergeCell ref="F116:F117"/>
    <mergeCell ref="F134:F135"/>
    <mergeCell ref="G215:G216"/>
    <mergeCell ref="H233:I233"/>
    <mergeCell ref="G98:G99"/>
    <mergeCell ref="C197:C198"/>
    <mergeCell ref="H215:I215"/>
    <mergeCell ref="D233:D234"/>
    <mergeCell ref="B197:B198"/>
    <mergeCell ref="G260:G261"/>
    <mergeCell ref="E179:E180"/>
    <mergeCell ref="C567:C568"/>
    <mergeCell ref="F215:F216"/>
    <mergeCell ref="E134:E135"/>
    <mergeCell ref="G576:G577"/>
    <mergeCell ref="B576:B577"/>
    <mergeCell ref="D197:D198"/>
    <mergeCell ref="F576:F577"/>
    <mergeCell ref="E576:E577"/>
    <mergeCell ref="E549:E550"/>
    <mergeCell ref="E567:E568"/>
    <mergeCell ref="D576:D577"/>
    <mergeCell ref="H80:I80"/>
    <mergeCell ref="B134:B135"/>
    <mergeCell ref="G152:G153"/>
    <mergeCell ref="F98:F99"/>
    <mergeCell ref="C98:C99"/>
    <mergeCell ref="C134:C135"/>
    <mergeCell ref="F242:F243"/>
    <mergeCell ref="D98:D99"/>
    <mergeCell ref="C170:C171"/>
    <mergeCell ref="C305:C306"/>
    <mergeCell ref="C360:C361"/>
    <mergeCell ref="B378:B379"/>
    <mergeCell ref="B432:B433"/>
    <mergeCell ref="F8:F9"/>
    <mergeCell ref="C116:C117"/>
    <mergeCell ref="G188:G189"/>
    <mergeCell ref="B44:B45"/>
    <mergeCell ref="G89:G90"/>
    <mergeCell ref="B71:B72"/>
    <mergeCell ref="D89:D90"/>
    <mergeCell ref="C62:C63"/>
    <mergeCell ref="B80:B81"/>
    <mergeCell ref="D242:D243"/>
    <mergeCell ref="H116:I116"/>
    <mergeCell ref="G17:G18"/>
    <mergeCell ref="H504:I504"/>
    <mergeCell ref="G305:G306"/>
    <mergeCell ref="B62:B63"/>
    <mergeCell ref="C44:C45"/>
    <mergeCell ref="F80:F81"/>
    <mergeCell ref="D26:D27"/>
    <mergeCell ref="C71:C72"/>
    <mergeCell ref="E71:E72"/>
    <mergeCell ref="D71:D72"/>
    <mergeCell ref="E62:E63"/>
    <mergeCell ref="H71:I71"/>
    <mergeCell ref="B26:B27"/>
    <mergeCell ref="F459:F460"/>
    <mergeCell ref="C531:C532"/>
    <mergeCell ref="G35:G36"/>
    <mergeCell ref="B224:B225"/>
    <mergeCell ref="C242:C243"/>
    <mergeCell ref="E260:E261"/>
    <mergeCell ref="C278:C279"/>
    <mergeCell ref="B278:B279"/>
    <mergeCell ref="B260:B261"/>
    <mergeCell ref="C26:C27"/>
    <mergeCell ref="F71:F72"/>
    <mergeCell ref="B89:B90"/>
    <mergeCell ref="G44:G45"/>
    <mergeCell ref="F549:F550"/>
    <mergeCell ref="D116:D117"/>
    <mergeCell ref="B305:B306"/>
    <mergeCell ref="F53:F54"/>
    <mergeCell ref="E522:E523"/>
    <mergeCell ref="D278:D279"/>
    <mergeCell ref="C296:C297"/>
    <mergeCell ref="F197:F198"/>
    <mergeCell ref="F314:F315"/>
    <mergeCell ref="E197:E198"/>
    <mergeCell ref="D215:D216"/>
    <mergeCell ref="B179:B180"/>
    <mergeCell ref="C378:C379"/>
    <mergeCell ref="B396:B397"/>
    <mergeCell ref="D44:D45"/>
    <mergeCell ref="G314:G315"/>
    <mergeCell ref="H26:I26"/>
    <mergeCell ref="E332:E333"/>
    <mergeCell ref="D387:D388"/>
    <mergeCell ref="E215:E216"/>
    <mergeCell ref="G369:G370"/>
    <mergeCell ref="E396:E397"/>
    <mergeCell ref="G251:G252"/>
    <mergeCell ref="D378:D379"/>
    <mergeCell ref="F396:F397"/>
    <mergeCell ref="F423:F424"/>
    <mergeCell ref="D296:D297"/>
    <mergeCell ref="G233:G234"/>
    <mergeCell ref="D179:D180"/>
    <mergeCell ref="H179:I179"/>
    <mergeCell ref="H224:I224"/>
    <mergeCell ref="H287:I287"/>
    <mergeCell ref="H251:I251"/>
    <mergeCell ref="F260:F261"/>
    <mergeCell ref="B513:B514"/>
    <mergeCell ref="C522:C523"/>
    <mergeCell ref="B567:B568"/>
    <mergeCell ref="G197:G198"/>
    <mergeCell ref="E558:E559"/>
    <mergeCell ref="H567:I567"/>
    <mergeCell ref="D432:D433"/>
    <mergeCell ref="D558:D559"/>
    <mergeCell ref="H576:I576"/>
    <mergeCell ref="F540:F541"/>
    <mergeCell ref="G558:G559"/>
    <mergeCell ref="F558:F559"/>
    <mergeCell ref="D62:D63"/>
    <mergeCell ref="E414:E415"/>
    <mergeCell ref="G296:G297"/>
    <mergeCell ref="G26:G27"/>
    <mergeCell ref="E116:E117"/>
    <mergeCell ref="C80:C81"/>
    <mergeCell ref="B53:B54"/>
    <mergeCell ref="H89:I89"/>
    <mergeCell ref="H44:I44"/>
    <mergeCell ref="D8:D9"/>
    <mergeCell ref="C35:C36"/>
    <mergeCell ref="H387:I387"/>
    <mergeCell ref="G387:G388"/>
    <mergeCell ref="H53:I53"/>
    <mergeCell ref="E206:E207"/>
    <mergeCell ref="H414:I414"/>
    <mergeCell ref="F414:F415"/>
    <mergeCell ref="E224:E225"/>
    <mergeCell ref="D414:D415"/>
    <mergeCell ref="E242:E243"/>
    <mergeCell ref="F224:F225"/>
    <mergeCell ref="F305:F306"/>
    <mergeCell ref="B477:B478"/>
    <mergeCell ref="G477:G478"/>
    <mergeCell ref="H378:I378"/>
    <mergeCell ref="E89:E90"/>
    <mergeCell ref="D134:D135"/>
    <mergeCell ref="H405:I405"/>
    <mergeCell ref="G432:G433"/>
    <mergeCell ref="B296:B297"/>
    <mergeCell ref="G71:G72"/>
    <mergeCell ref="B35:B36"/>
    <mergeCell ref="B441:B442"/>
    <mergeCell ref="D269:D270"/>
    <mergeCell ref="G549:G550"/>
    <mergeCell ref="F522:F523"/>
    <mergeCell ref="G522:G523"/>
    <mergeCell ref="D486:D487"/>
    <mergeCell ref="F567:F568"/>
    <mergeCell ref="D567:D568"/>
    <mergeCell ref="G567:G568"/>
    <mergeCell ref="H278:I278"/>
    <mergeCell ref="C350:C351"/>
    <mergeCell ref="E269:E270"/>
    <mergeCell ref="G341:G342"/>
    <mergeCell ref="B341:B342"/>
    <mergeCell ref="H269:I269"/>
    <mergeCell ref="B269:B270"/>
    <mergeCell ref="F251:F252"/>
    <mergeCell ref="D314:D315"/>
    <mergeCell ref="B287:B288"/>
    <mergeCell ref="G269:G270"/>
    <mergeCell ref="F332:F333"/>
    <mergeCell ref="G414:G415"/>
    <mergeCell ref="B414:B415"/>
    <mergeCell ref="H558:I558"/>
    <mergeCell ref="E369:E370"/>
    <mergeCell ref="D540:D541"/>
    <mergeCell ref="F360:F361"/>
    <mergeCell ref="C558:C559"/>
    <mergeCell ref="B558:B559"/>
    <mergeCell ref="D53:D54"/>
    <mergeCell ref="E486:E487"/>
    <mergeCell ref="C314:C315"/>
    <mergeCell ref="E53:E54"/>
    <mergeCell ref="C387:C388"/>
    <mergeCell ref="H35:I35"/>
    <mergeCell ref="C17:C18"/>
    <mergeCell ref="G8:G9"/>
    <mergeCell ref="D35:D36"/>
    <mergeCell ref="E35:E36"/>
    <mergeCell ref="F26:F27"/>
    <mergeCell ref="C53:C54"/>
    <mergeCell ref="H8:I8"/>
    <mergeCell ref="G53:G54"/>
    <mergeCell ref="E360:E361"/>
    <mergeCell ref="B8:B9"/>
    <mergeCell ref="G441:G442"/>
    <mergeCell ref="E26:E27"/>
    <mergeCell ref="D504:D505"/>
    <mergeCell ref="C332:C333"/>
    <mergeCell ref="B522:B523"/>
    <mergeCell ref="E233:E234"/>
    <mergeCell ref="D251:D252"/>
    <mergeCell ref="C269:C270"/>
    <mergeCell ref="C287:C288"/>
    <mergeCell ref="C206:C207"/>
    <mergeCell ref="E98:E99"/>
    <mergeCell ref="H152:I152"/>
    <mergeCell ref="B116:B117"/>
    <mergeCell ref="H314:I314"/>
    <mergeCell ref="H296:I296"/>
    <mergeCell ref="H305:I305"/>
    <mergeCell ref="H360:I360"/>
    <mergeCell ref="F323:F324"/>
    <mergeCell ref="E341:E342"/>
    <mergeCell ref="B360:B361"/>
    <mergeCell ref="B369:B370"/>
    <mergeCell ref="B350:B351"/>
    <mergeCell ref="C341:C342"/>
    <mergeCell ref="D287:D288"/>
    <mergeCell ref="H260:I260"/>
    <mergeCell ref="H369:I369"/>
    <mergeCell ref="E387:E388"/>
    <mergeCell ref="D450:D451"/>
    <mergeCell ref="H450:I450"/>
    <mergeCell ref="H459:I459"/>
    <mergeCell ref="H540:I540"/>
    <mergeCell ref="G323:G324"/>
    <mergeCell ref="E170:E171"/>
    <mergeCell ref="G179:G180"/>
    <mergeCell ref="E278:E279"/>
    <mergeCell ref="G242:G243"/>
    <mergeCell ref="G224:G225"/>
    <mergeCell ref="H143:I143"/>
    <mergeCell ref="E143:E144"/>
    <mergeCell ref="D459:D460"/>
    <mergeCell ref="F350:F351"/>
    <mergeCell ref="G396:G397"/>
    <mergeCell ref="G468:G469"/>
    <mergeCell ref="B459:B460"/>
    <mergeCell ref="G332:G333"/>
    <mergeCell ref="C423:C424"/>
    <mergeCell ref="G459:G460"/>
    <mergeCell ref="C459:C460"/>
    <mergeCell ref="B143:B144"/>
    <mergeCell ref="G278:G279"/>
    <mergeCell ref="D350:D351"/>
    <mergeCell ref="E17:E18"/>
    <mergeCell ref="H332:I332"/>
    <mergeCell ref="D405:D406"/>
    <mergeCell ref="F170:F171"/>
    <mergeCell ref="C8:C9"/>
    <mergeCell ref="H17:I17"/>
    <mergeCell ref="H134:I134"/>
    <mergeCell ref="B2:I2"/>
    <mergeCell ref="B3:I3"/>
    <mergeCell ref="B152:B153"/>
    <mergeCell ref="F62:F63"/>
    <mergeCell ref="B17:B18"/>
    <mergeCell ref="G80:G81"/>
    <mergeCell ref="C405:C406"/>
    <mergeCell ref="B405:B406"/>
    <mergeCell ref="B450:B451"/>
    <mergeCell ref="H396:I396"/>
    <mergeCell ref="F35:F36"/>
    <mergeCell ref="E405:E406"/>
    <mergeCell ref="G450:G451"/>
    <mergeCell ref="E44:E45"/>
    <mergeCell ref="G405:G406"/>
    <mergeCell ref="F405:F406"/>
    <mergeCell ref="F152:F153"/>
    <mergeCell ref="G62:G63"/>
    <mergeCell ref="H323:I323"/>
    <mergeCell ref="D170:D171"/>
    <mergeCell ref="E251:E252"/>
    <mergeCell ref="B531:B532"/>
    <mergeCell ref="C549:C550"/>
    <mergeCell ref="B468:B469"/>
    <mergeCell ref="D549:D550"/>
    <mergeCell ref="B549:B550"/>
    <mergeCell ref="E287:E288"/>
    <mergeCell ref="H197:I197"/>
    <mergeCell ref="B188:B189"/>
    <mergeCell ref="D260:D261"/>
    <mergeCell ref="H188:I188"/>
    <mergeCell ref="H549:I549"/>
    <mergeCell ref="H170:I170"/>
    <mergeCell ref="D224:D225"/>
    <mergeCell ref="H242:I242"/>
    <mergeCell ref="G206:G207"/>
    <mergeCell ref="D188:D189"/>
    <mergeCell ref="F206:F207"/>
    <mergeCell ref="H206:I206"/>
    <mergeCell ref="B170:B171"/>
    <mergeCell ref="B540:B541"/>
    <mergeCell ref="E450:E451"/>
    <mergeCell ref="B314:B315"/>
    <mergeCell ref="B504:B505"/>
    <mergeCell ref="B486:B487"/>
    <mergeCell ref="C486:C487"/>
    <mergeCell ref="H341:I341"/>
    <mergeCell ref="F278:F279"/>
    <mergeCell ref="D369:D370"/>
    <mergeCell ref="F287:F288"/>
    <mergeCell ref="F233:F234"/>
    <mergeCell ref="H161:I161"/>
    <mergeCell ref="G287:G288"/>
    <mergeCell ref="C152:C153"/>
    <mergeCell ref="B332:B333"/>
    <mergeCell ref="F369:F370"/>
    <mergeCell ref="C215:C216"/>
    <mergeCell ref="B323:B324"/>
    <mergeCell ref="B161:B162"/>
    <mergeCell ref="D323:D324"/>
    <mergeCell ref="E152:E153"/>
    <mergeCell ref="C233:C234"/>
    <mergeCell ref="C251:C252"/>
    <mergeCell ref="B233:B234"/>
    <mergeCell ref="F44:F45"/>
    <mergeCell ref="C369:C370"/>
    <mergeCell ref="E477:E478"/>
    <mergeCell ref="H62:I62"/>
    <mergeCell ref="D17:D18"/>
    <mergeCell ref="F89:F90"/>
    <mergeCell ref="E80:E81"/>
    <mergeCell ref="F188:F189"/>
    <mergeCell ref="E188:E189"/>
    <mergeCell ref="D206:D207"/>
    <mergeCell ref="H432:I432"/>
    <mergeCell ref="B242:B243"/>
    <mergeCell ref="F17:F18"/>
    <mergeCell ref="B206:B207"/>
    <mergeCell ref="C224:C225"/>
    <mergeCell ref="C188:C189"/>
    <mergeCell ref="B98:B99"/>
    <mergeCell ref="B423:B424"/>
    <mergeCell ref="C396:C397"/>
    <mergeCell ref="E8:E9"/>
    <mergeCell ref="F296:F297"/>
    <mergeCell ref="G423:G424"/>
    <mergeCell ref="B495:B496"/>
    <mergeCell ref="D305:D306"/>
    <mergeCell ref="F495:F496"/>
    <mergeCell ref="E423:E424"/>
    <mergeCell ref="D360:D361"/>
    <mergeCell ref="D396:D397"/>
    <mergeCell ref="C495:C496"/>
    <mergeCell ref="D495:D496"/>
    <mergeCell ref="E323:E324"/>
    <mergeCell ref="F378:F379"/>
    <mergeCell ref="H350:I350"/>
    <mergeCell ref="H468:I468"/>
    <mergeCell ref="F143:F144"/>
    <mergeCell ref="E504:E505"/>
    <mergeCell ref="D161:D162"/>
    <mergeCell ref="D125:D126"/>
    <mergeCell ref="E314:E315"/>
    <mergeCell ref="G350:G351"/>
    <mergeCell ref="D341:D342"/>
    <mergeCell ref="D332:D333"/>
    <mergeCell ref="B387:B388"/>
    <mergeCell ref="E305:E306"/>
    <mergeCell ref="B125:B126"/>
    <mergeCell ref="B107:B108"/>
    <mergeCell ref="H125:I125"/>
    <mergeCell ref="E350:E351"/>
    <mergeCell ref="G107:G108"/>
    <mergeCell ref="H441:I441"/>
    <mergeCell ref="H423:I423"/>
    <mergeCell ref="D423:D424"/>
    <mergeCell ref="F161:F162"/>
    <mergeCell ref="E107:E108"/>
    <mergeCell ref="C504:C505"/>
    <mergeCell ref="C468:C469"/>
    <mergeCell ref="E531:E532"/>
    <mergeCell ref="G161:G162"/>
    <mergeCell ref="F125:F126"/>
    <mergeCell ref="G540:G541"/>
    <mergeCell ref="E540:E541"/>
    <mergeCell ref="F107:F108"/>
    <mergeCell ref="C414:C415"/>
    <mergeCell ref="E459:E460"/>
    <mergeCell ref="E161:E162"/>
    <mergeCell ref="C441:C442"/>
    <mergeCell ref="D107:D108"/>
    <mergeCell ref="C540:C541"/>
    <mergeCell ref="C450:C451"/>
    <mergeCell ref="D152:D153"/>
    <mergeCell ref="E432:E433"/>
    <mergeCell ref="C432:C433"/>
    <mergeCell ref="E296:E297"/>
    <mergeCell ref="C323:C324"/>
    <mergeCell ref="F432:F433"/>
    <mergeCell ref="G125:G126"/>
    <mergeCell ref="F531:F532"/>
    <mergeCell ref="F450:F451"/>
    <mergeCell ref="G360:G361"/>
    <mergeCell ref="F341:F342"/>
    <mergeCell ref="F504:F505"/>
    <mergeCell ref="E125:E126"/>
    <mergeCell ref="D468:D469"/>
    <mergeCell ref="E513:E514"/>
    <mergeCell ref="E495:E496"/>
    <mergeCell ref="D477:D478"/>
    <mergeCell ref="H107:I107"/>
    <mergeCell ref="F441:F442"/>
    <mergeCell ref="E378:E379"/>
    <mergeCell ref="H486:I486"/>
    <mergeCell ref="H522:I522"/>
    <mergeCell ref="G170:G171"/>
    <mergeCell ref="C260:C261"/>
    <mergeCell ref="F387:F388"/>
    <mergeCell ref="C143:C144"/>
    <mergeCell ref="C161:C162"/>
    <mergeCell ref="C125:C126"/>
    <mergeCell ref="C107:C108"/>
    <mergeCell ref="G116:G117"/>
    <mergeCell ref="E441:E442"/>
    <mergeCell ref="G531:G532"/>
    <mergeCell ref="G486:G487"/>
    <mergeCell ref="G504:G505"/>
    <mergeCell ref="H531:I531"/>
    <mergeCell ref="D441:D442"/>
    <mergeCell ref="G143:G144"/>
    <mergeCell ref="D143:D144"/>
    <mergeCell ref="F477:F478"/>
    <mergeCell ref="C513:C514"/>
    <mergeCell ref="C477:C478"/>
    <mergeCell ref="G495:G496"/>
    <mergeCell ref="F468:F469"/>
    <mergeCell ref="D513:D514"/>
    <mergeCell ref="D522:D523"/>
    <mergeCell ref="F486:F487"/>
    <mergeCell ref="F513:F514"/>
    <mergeCell ref="G513:G514"/>
    <mergeCell ref="H513:I513"/>
    <mergeCell ref="E468:E469"/>
    <mergeCell ref="D531:D532"/>
    <mergeCell ref="H495:I495"/>
    <mergeCell ref="H477:I477"/>
  </mergeCells>
  <pageMargins left="0.7" right="0.7" top="0.75" bottom="0.75" header="0.3" footer="0.3"/>
</worksheet>
</file>

<file path=xl/worksheets/sheet8.xml><?xml version="1.0" encoding="utf-8"?>
<worksheet xmlns:r="http://schemas.openxmlformats.org/officeDocument/2006/relationships" xmlns="http://schemas.openxmlformats.org/spreadsheetml/2006/main">
  <dimension ref="A1:M73"/>
  <sheetViews>
    <sheetView workbookViewId="0" topLeftCell="A49" zoomScale="84">
      <selection activeCell="G73" sqref="G73"/>
    </sheetView>
  </sheetViews>
  <sheetFormatPr defaultRowHeight="15.0" defaultColWidth="10"/>
  <cols>
    <col min="1" max="1" customWidth="1" width="4.7109375" style="0"/>
    <col min="2" max="2" customWidth="0" width="9.140625" style="263"/>
    <col min="3" max="3" customWidth="1" width="49.710938" style="263"/>
    <col min="4" max="4" customWidth="1" width="8.140625" style="263"/>
    <col min="5" max="5" customWidth="1" width="18.570312" style="263"/>
    <col min="6" max="6" customWidth="1" width="17.710938" style="263"/>
    <col min="7" max="7" customWidth="1" width="17.570312" style="263"/>
    <col min="8" max="8" customWidth="1" width="18.425781" style="263"/>
    <col min="9" max="9" customWidth="1" width="17.140625" style="263"/>
    <col min="10" max="10" customWidth="1" width="17.855469" style="263"/>
  </cols>
  <sheetData>
    <row r="1" spans="8:8">
      <c r="B1" s="264" t="s">
        <v>69</v>
      </c>
    </row>
    <row r="2" spans="8:8">
      <c r="B2" s="264" t="s">
        <v>70</v>
      </c>
    </row>
    <row r="3" spans="8:8">
      <c r="B3" s="264" t="s">
        <v>175</v>
      </c>
    </row>
    <row r="5" spans="8:8">
      <c r="B5" s="265" t="s">
        <v>37</v>
      </c>
      <c r="C5" s="266" t="s">
        <v>108</v>
      </c>
      <c r="D5" s="266" t="s">
        <v>38</v>
      </c>
      <c r="E5" s="267" t="s">
        <v>171</v>
      </c>
      <c r="F5" s="267"/>
      <c r="G5" s="267" t="s">
        <v>172</v>
      </c>
      <c r="H5" s="267"/>
      <c r="I5" s="267" t="s">
        <v>173</v>
      </c>
      <c r="J5" s="268"/>
    </row>
    <row r="6" spans="8:8">
      <c r="B6" s="269"/>
      <c r="C6" s="270"/>
      <c r="D6" s="270"/>
      <c r="E6" s="271" t="s">
        <v>174</v>
      </c>
      <c r="F6" s="271" t="s">
        <v>40</v>
      </c>
      <c r="G6" s="271" t="s">
        <v>174</v>
      </c>
      <c r="H6" s="271" t="s">
        <v>40</v>
      </c>
      <c r="I6" s="271" t="s">
        <v>174</v>
      </c>
      <c r="J6" s="272" t="s">
        <v>40</v>
      </c>
    </row>
    <row r="7" spans="8:8" s="12" ht="15.0" customFormat="1">
      <c r="B7" s="6">
        <v>10000.0</v>
      </c>
      <c r="C7" s="7" t="s">
        <v>2</v>
      </c>
      <c r="D7" s="273"/>
      <c r="E7" s="274"/>
      <c r="F7" s="274"/>
      <c r="G7" s="274"/>
      <c r="H7" s="274"/>
      <c r="I7" s="274"/>
      <c r="J7" s="275"/>
    </row>
    <row r="8" spans="8:8">
      <c r="B8" s="11">
        <v>11000.0</v>
      </c>
      <c r="C8" s="8" t="s">
        <v>3</v>
      </c>
      <c r="D8" s="276"/>
      <c r="E8" s="277"/>
      <c r="F8" s="277"/>
      <c r="G8" s="277"/>
      <c r="H8" s="277"/>
      <c r="I8" s="277"/>
      <c r="J8" s="278"/>
      <c r="L8" s="12"/>
    </row>
    <row r="9" spans="8:8">
      <c r="B9" s="11">
        <v>11100.0</v>
      </c>
      <c r="C9" s="8" t="s">
        <v>4</v>
      </c>
      <c r="D9" s="279"/>
      <c r="E9" s="280">
        <f>VLOOKUP(B9,'Master Account'!$A$6:$E$69,4,FALSE)</f>
        <v>0.0</v>
      </c>
      <c r="F9" s="280">
        <f>VLOOKUP(B9,'Master Account'!$A$6:$E$69,5,FALSE)</f>
        <v>0.0</v>
      </c>
      <c r="G9" s="280">
        <f>SUMIF('JURNAL UMUM'!$A$8:$G$147,'TRIAL BALANCE'!B9,'JURNAL UMUM'!$F$8:$F$147)</f>
        <v>0.0</v>
      </c>
      <c r="H9" s="280">
        <f>SUMIF('JURNAL UMUM'!$A$8:$G$147,'TRIAL BALANCE'!B9,'JURNAL UMUM'!$G$8:$G$147)</f>
        <v>0.0</v>
      </c>
      <c r="I9" s="280">
        <f>IF(E9+G9&gt;F9+H9,((E9+G9)-(F9+H9)),0)</f>
        <v>0.0</v>
      </c>
      <c r="J9" s="281">
        <f>IF(F9+H9&gt;E9+G9,((F9+H9)-(E9+G9)),0)</f>
        <v>0.0</v>
      </c>
    </row>
    <row r="10" spans="8:8">
      <c r="B10" s="11">
        <v>11101.0</v>
      </c>
      <c r="C10" s="8" t="s">
        <v>5</v>
      </c>
      <c r="D10" s="279"/>
      <c r="E10" s="280">
        <f>VLOOKUP(B10,'Master Account'!$A$6:$E$69,4,FALSE)</f>
        <v>2500000.0</v>
      </c>
      <c r="F10" s="280">
        <f>VLOOKUP(B10,'Master Account'!$A$6:$E$69,5,FALSE)</f>
        <v>0.0</v>
      </c>
      <c r="G10" s="280">
        <f>SUMIF('JURNAL UMUM'!$A$8:$G$147,'TRIAL BALANCE'!B10,'JURNAL UMUM'!$F$8:$F$147)</f>
        <v>6.068575E7</v>
      </c>
      <c r="H10" s="280">
        <f>SUMIF('JURNAL UMUM'!$A$8:$G$147,'TRIAL BALANCE'!B10,'JURNAL UMUM'!$G$8:$G$147)</f>
        <v>412500.0</v>
      </c>
      <c r="I10" s="280">
        <f t="shared" si="0" ref="I10:I71">IF(E10+G10&gt;F10+H10,((E10+G10)-(F10+H10)),0)</f>
        <v>6.277325E7</v>
      </c>
      <c r="J10" s="281">
        <f t="shared" si="1" ref="J10:J71">IF(F10+H10&gt;E10+G10,((F10+H10)-(E10+G10)),0)</f>
        <v>0.0</v>
      </c>
    </row>
    <row r="11" spans="8:8">
      <c r="B11" s="11">
        <v>11102.0</v>
      </c>
      <c r="C11" s="8" t="s">
        <v>6</v>
      </c>
      <c r="D11" s="279"/>
      <c r="E11" s="280">
        <f>VLOOKUP(B11,'Master Account'!$A$6:$E$69,4,FALSE)</f>
        <v>750000.0</v>
      </c>
      <c r="F11" s="280">
        <f>VLOOKUP(B11,'Master Account'!$A$6:$E$69,5,FALSE)</f>
        <v>0.0</v>
      </c>
      <c r="G11" s="280">
        <f>SUMIF('JURNAL UMUM'!$A$8:$G$147,'TRIAL BALANCE'!B11,'JURNAL UMUM'!$F$8:$F$147)</f>
        <v>0.0</v>
      </c>
      <c r="H11" s="280">
        <f>SUMIF('JURNAL UMUM'!$A$8:$G$147,'TRIAL BALANCE'!B11,'JURNAL UMUM'!$G$8:$G$147)</f>
        <v>0.0</v>
      </c>
      <c r="I11" s="280">
        <f t="shared" si="0"/>
        <v>750000.0</v>
      </c>
      <c r="J11" s="281">
        <f t="shared" si="1"/>
        <v>0.0</v>
      </c>
    </row>
    <row r="12" spans="8:8">
      <c r="B12" s="11">
        <v>11200.0</v>
      </c>
      <c r="C12" s="8" t="s">
        <v>7</v>
      </c>
      <c r="D12" s="279"/>
      <c r="E12" s="280">
        <f>VLOOKUP(B12,'Master Account'!$A$6:$E$69,4,FALSE)</f>
        <v>0.0</v>
      </c>
      <c r="F12" s="280">
        <f>VLOOKUP(B12,'Master Account'!$A$6:$E$69,5,FALSE)</f>
        <v>0.0</v>
      </c>
      <c r="G12" s="280">
        <f>SUMIF('JURNAL UMUM'!$A$8:$G$147,'TRIAL BALANCE'!B12,'JURNAL UMUM'!$F$8:$F$147)</f>
        <v>0.0</v>
      </c>
      <c r="H12" s="280">
        <f>SUMIF('JURNAL UMUM'!$A$8:$G$147,'TRIAL BALANCE'!B12,'JURNAL UMUM'!$G$8:$G$147)</f>
        <v>0.0</v>
      </c>
      <c r="I12" s="280">
        <f t="shared" si="0"/>
        <v>0.0</v>
      </c>
      <c r="J12" s="281">
        <f t="shared" si="1"/>
        <v>0.0</v>
      </c>
    </row>
    <row r="13" spans="8:8">
      <c r="B13" s="11">
        <v>11201.0</v>
      </c>
      <c r="C13" s="8" t="s">
        <v>8</v>
      </c>
      <c r="D13" s="279"/>
      <c r="E13" s="280">
        <f>VLOOKUP(B13,'Master Account'!$A$6:$E$69,4,FALSE)</f>
        <v>4.5E7</v>
      </c>
      <c r="F13" s="280">
        <f>VLOOKUP(B13,'Master Account'!$A$6:$E$69,5,FALSE)</f>
        <v>0.0</v>
      </c>
      <c r="G13" s="280">
        <f>SUMIF('JURNAL UMUM'!$A$8:$G$147,'TRIAL BALANCE'!B13,'JURNAL UMUM'!$F$8:$F$147)</f>
        <v>4.59E7</v>
      </c>
      <c r="H13" s="280">
        <f>SUMIF('JURNAL UMUM'!$A$8:$G$147,'TRIAL BALANCE'!B13,'JURNAL UMUM'!$G$8:$G$147)</f>
        <v>6.9025E7</v>
      </c>
      <c r="I13" s="280">
        <f t="shared" si="0"/>
        <v>2.1875E7</v>
      </c>
      <c r="J13" s="281">
        <f t="shared" si="1"/>
        <v>0.0</v>
      </c>
    </row>
    <row r="14" spans="8:8">
      <c r="B14" s="11">
        <v>11202.0</v>
      </c>
      <c r="C14" s="8" t="s">
        <v>9</v>
      </c>
      <c r="D14" s="279"/>
      <c r="E14" s="280">
        <f>VLOOKUP(B14,'Master Account'!$A$6:$E$69,4,FALSE)</f>
        <v>2.5E7</v>
      </c>
      <c r="F14" s="280">
        <f>VLOOKUP(B14,'Master Account'!$A$6:$E$69,5,FALSE)</f>
        <v>0.0</v>
      </c>
      <c r="G14" s="280">
        <f>SUMIF('JURNAL UMUM'!$A$8:$G$147,'TRIAL BALANCE'!B14,'JURNAL UMUM'!$F$8:$F$147)</f>
        <v>7.3409E7</v>
      </c>
      <c r="H14" s="280">
        <f>SUMIF('JURNAL UMUM'!$A$8:$G$147,'TRIAL BALANCE'!B14,'JURNAL UMUM'!$G$8:$G$147)</f>
        <v>4.48875E7</v>
      </c>
      <c r="I14" s="280">
        <f t="shared" si="0"/>
        <v>5.35215E7</v>
      </c>
      <c r="J14" s="281">
        <f t="shared" si="1"/>
        <v>0.0</v>
      </c>
    </row>
    <row r="15" spans="8:8">
      <c r="B15" s="11">
        <v>11300.0</v>
      </c>
      <c r="C15" s="8" t="s">
        <v>10</v>
      </c>
      <c r="D15" s="279"/>
      <c r="E15" s="280">
        <f>VLOOKUP(B15,'Master Account'!$A$6:$E$69,4,FALSE)</f>
        <v>0.0</v>
      </c>
      <c r="F15" s="280">
        <f>VLOOKUP(B15,'Master Account'!$A$6:$E$69,5,FALSE)</f>
        <v>0.0</v>
      </c>
      <c r="G15" s="280">
        <f>SUMIF('JURNAL UMUM'!$A$8:$G$147,'TRIAL BALANCE'!B15,'JURNAL UMUM'!$F$8:$F$147)</f>
        <v>0.0</v>
      </c>
      <c r="H15" s="280">
        <f>SUMIF('JURNAL UMUM'!$A$8:$G$147,'TRIAL BALANCE'!B15,'JURNAL UMUM'!$G$8:$G$147)</f>
        <v>0.0</v>
      </c>
      <c r="I15" s="280">
        <f t="shared" si="0"/>
        <v>0.0</v>
      </c>
      <c r="J15" s="281">
        <f t="shared" si="1"/>
        <v>0.0</v>
      </c>
    </row>
    <row r="16" spans="8:8">
      <c r="B16" s="11">
        <v>11301.0</v>
      </c>
      <c r="C16" s="8" t="s">
        <v>11</v>
      </c>
      <c r="D16" s="279"/>
      <c r="E16" s="280">
        <f>VLOOKUP(B16,'Master Account'!$A$6:$E$69,4,FALSE)</f>
        <v>4.75E7</v>
      </c>
      <c r="F16" s="280">
        <f>VLOOKUP(B16,'Master Account'!$A$6:$E$69,5,FALSE)</f>
        <v>0.0</v>
      </c>
      <c r="G16" s="280">
        <f>SUMIF('JURNAL UMUM'!$A$8:$G$147,'TRIAL BALANCE'!B16,'JURNAL UMUM'!$F$8:$F$147)</f>
        <v>5.996E7</v>
      </c>
      <c r="H16" s="280">
        <f>SUMIF('JURNAL UMUM'!$A$8:$G$147,'TRIAL BALANCE'!B16,'JURNAL UMUM'!$G$8:$G$147)</f>
        <v>4.9425E7</v>
      </c>
      <c r="I16" s="280">
        <f t="shared" si="0"/>
        <v>5.8035E7</v>
      </c>
      <c r="J16" s="281">
        <f t="shared" si="1"/>
        <v>0.0</v>
      </c>
    </row>
    <row r="17" spans="8:8">
      <c r="B17" s="11">
        <v>11302.0</v>
      </c>
      <c r="C17" s="8" t="s">
        <v>12</v>
      </c>
      <c r="D17" s="279"/>
      <c r="E17" s="280">
        <f>VLOOKUP(B17,'Master Account'!$A$6:$E$69,4,FALSE)</f>
        <v>0.0</v>
      </c>
      <c r="F17" s="280">
        <f>VLOOKUP(B17,'Master Account'!$A$6:$E$69,5,FALSE)</f>
        <v>0.0</v>
      </c>
      <c r="G17" s="280">
        <f>SUMIF('JURNAL UMUM'!$A$8:$G$147,'TRIAL BALANCE'!B17,'JURNAL UMUM'!$F$8:$F$147)</f>
        <v>0.0</v>
      </c>
      <c r="H17" s="280">
        <f>SUMIF('JURNAL UMUM'!$A$8:$G$147,'TRIAL BALANCE'!B17,'JURNAL UMUM'!$G$8:$G$147)</f>
        <v>2901750.0</v>
      </c>
      <c r="I17" s="280">
        <f t="shared" si="0"/>
        <v>0.0</v>
      </c>
      <c r="J17" s="281">
        <f t="shared" si="1"/>
        <v>2901750.0</v>
      </c>
    </row>
    <row r="18" spans="8:8">
      <c r="B18" s="11">
        <v>11400.0</v>
      </c>
      <c r="C18" s="8" t="s">
        <v>13</v>
      </c>
      <c r="D18" s="279"/>
      <c r="E18" s="280">
        <f>VLOOKUP(B18,'Master Account'!$A$6:$E$69,4,FALSE)</f>
        <v>0.0</v>
      </c>
      <c r="F18" s="280">
        <f>VLOOKUP(B18,'Master Account'!$A$6:$E$69,5,FALSE)</f>
        <v>0.0</v>
      </c>
      <c r="G18" s="280">
        <f>SUMIF('JURNAL UMUM'!$A$8:$G$147,'TRIAL BALANCE'!B18,'JURNAL UMUM'!$F$8:$F$147)</f>
        <v>0.0</v>
      </c>
      <c r="H18" s="280">
        <f>SUMIF('JURNAL UMUM'!$A$8:$G$147,'TRIAL BALANCE'!B18,'JURNAL UMUM'!$G$8:$G$147)</f>
        <v>0.0</v>
      </c>
      <c r="I18" s="280">
        <f t="shared" si="0"/>
        <v>0.0</v>
      </c>
      <c r="J18" s="281">
        <f t="shared" si="1"/>
        <v>0.0</v>
      </c>
    </row>
    <row r="19" spans="8:8">
      <c r="B19" s="11">
        <v>11401.0</v>
      </c>
      <c r="C19" s="8" t="s">
        <v>14</v>
      </c>
      <c r="D19" s="279"/>
      <c r="E19" s="280">
        <f>VLOOKUP(B19,'Master Account'!$A$6:$E$69,4,FALSE)</f>
        <v>0.0</v>
      </c>
      <c r="F19" s="280">
        <f>VLOOKUP(B19,'Master Account'!$A$6:$E$69,5,FALSE)</f>
        <v>0.0</v>
      </c>
      <c r="G19" s="280">
        <f>SUMIF('JURNAL UMUM'!$A$8:$G$147,'TRIAL BALANCE'!B19,'JURNAL UMUM'!$F$8:$F$147)</f>
        <v>2500000.0</v>
      </c>
      <c r="H19" s="280">
        <f>SUMIF('JURNAL UMUM'!$A$8:$G$147,'TRIAL BALANCE'!B19,'JURNAL UMUM'!$G$8:$G$147)</f>
        <v>500000.0</v>
      </c>
      <c r="I19" s="280">
        <f t="shared" si="0"/>
        <v>2000000.0</v>
      </c>
      <c r="J19" s="281">
        <f t="shared" si="1"/>
        <v>0.0</v>
      </c>
    </row>
    <row r="20" spans="8:8">
      <c r="B20" s="11">
        <v>11500.0</v>
      </c>
      <c r="C20" s="8" t="s">
        <v>15</v>
      </c>
      <c r="D20" s="279"/>
      <c r="E20" s="280">
        <f>VLOOKUP(B20,'Master Account'!$A$6:$E$69,4,FALSE)</f>
        <v>1.6638E8</v>
      </c>
      <c r="F20" s="280">
        <f>VLOOKUP(B20,'Master Account'!$A$6:$E$69,5,FALSE)</f>
        <v>0.0</v>
      </c>
      <c r="G20" s="280">
        <f>SUMIF('JURNAL UMUM'!$A$8:$G$147,'TRIAL BALANCE'!B20,'JURNAL UMUM'!$F$8:$F$147)</f>
        <v>2.3475E7</v>
      </c>
      <c r="H20" s="280">
        <f>SUMIF('JURNAL UMUM'!$A$8:$G$147,'TRIAL BALANCE'!B20,'JURNAL UMUM'!$G$8:$G$147)</f>
        <v>1.1839E8</v>
      </c>
      <c r="I20" s="280">
        <f t="shared" si="0"/>
        <v>7.1465E7</v>
      </c>
      <c r="J20" s="281">
        <f t="shared" si="1"/>
        <v>0.0</v>
      </c>
    </row>
    <row r="21" spans="8:8">
      <c r="B21" s="11">
        <v>11600.0</v>
      </c>
      <c r="C21" s="8" t="s">
        <v>16</v>
      </c>
      <c r="D21" s="279"/>
      <c r="E21" s="280">
        <f>VLOOKUP(B21,'Master Account'!$A$6:$E$69,4,FALSE)</f>
        <v>0.0</v>
      </c>
      <c r="F21" s="280">
        <f>VLOOKUP(B21,'Master Account'!$A$6:$E$69,5,FALSE)</f>
        <v>0.0</v>
      </c>
      <c r="G21" s="280">
        <f>SUMIF('JURNAL UMUM'!$A$8:$G$147,'TRIAL BALANCE'!B21,'JURNAL UMUM'!$F$8:$F$147)</f>
        <v>0.0</v>
      </c>
      <c r="H21" s="280">
        <f>SUMIF('JURNAL UMUM'!$A$8:$G$147,'TRIAL BALANCE'!B21,'JURNAL UMUM'!$G$8:$G$147)</f>
        <v>0.0</v>
      </c>
      <c r="I21" s="280">
        <f t="shared" si="0"/>
        <v>0.0</v>
      </c>
      <c r="J21" s="281">
        <f t="shared" si="1"/>
        <v>0.0</v>
      </c>
    </row>
    <row r="22" spans="8:8">
      <c r="B22" s="11">
        <v>11601.0</v>
      </c>
      <c r="C22" s="8" t="s">
        <v>17</v>
      </c>
      <c r="D22" s="279"/>
      <c r="E22" s="280">
        <f>VLOOKUP(B22,'Master Account'!$A$6:$E$69,4,FALSE)</f>
        <v>0.0</v>
      </c>
      <c r="F22" s="280">
        <f>VLOOKUP(B22,'Master Account'!$A$6:$E$69,5,FALSE)</f>
        <v>0.0</v>
      </c>
      <c r="G22" s="280">
        <f>SUMIF('JURNAL UMUM'!$A$8:$G$147,'TRIAL BALANCE'!B22,'JURNAL UMUM'!$F$8:$F$147)</f>
        <v>2425000.0</v>
      </c>
      <c r="H22" s="280">
        <f>SUMIF('JURNAL UMUM'!$A$8:$G$147,'TRIAL BALANCE'!B22,'JURNAL UMUM'!$G$8:$G$147)</f>
        <v>32500.0</v>
      </c>
      <c r="I22" s="280">
        <f t="shared" si="0"/>
        <v>2392500.0</v>
      </c>
      <c r="J22" s="281">
        <f t="shared" si="1"/>
        <v>0.0</v>
      </c>
    </row>
    <row r="23" spans="8:8">
      <c r="B23" s="11">
        <v>11602.0</v>
      </c>
      <c r="C23" s="8" t="s">
        <v>18</v>
      </c>
      <c r="D23" s="279"/>
      <c r="E23" s="280">
        <f>VLOOKUP(B23,'Master Account'!$A$6:$E$69,4,FALSE)</f>
        <v>0.0</v>
      </c>
      <c r="F23" s="280">
        <f>VLOOKUP(B23,'Master Account'!$A$6:$E$69,5,FALSE)</f>
        <v>0.0</v>
      </c>
      <c r="G23" s="280">
        <f>SUMIF('JURNAL UMUM'!$A$8:$G$147,'TRIAL BALANCE'!B23,'JURNAL UMUM'!$F$8:$F$147)</f>
        <v>6000000.0</v>
      </c>
      <c r="H23" s="280">
        <f>SUMIF('JURNAL UMUM'!$A$8:$G$147,'TRIAL BALANCE'!B23,'JURNAL UMUM'!$G$8:$G$147)</f>
        <v>6000000.0</v>
      </c>
      <c r="I23" s="280">
        <f t="shared" si="0"/>
        <v>0.0</v>
      </c>
      <c r="J23" s="281">
        <f t="shared" si="1"/>
        <v>0.0</v>
      </c>
    </row>
    <row r="24" spans="8:8">
      <c r="B24" s="11">
        <v>12000.0</v>
      </c>
      <c r="C24" s="8" t="s">
        <v>19</v>
      </c>
      <c r="D24" s="279"/>
      <c r="E24" s="280">
        <f>VLOOKUP(B24,'Master Account'!$A$6:$E$69,4,FALSE)</f>
        <v>0.0</v>
      </c>
      <c r="F24" s="280">
        <f>VLOOKUP(B24,'Master Account'!$A$6:$E$69,5,FALSE)</f>
        <v>0.0</v>
      </c>
      <c r="G24" s="280">
        <f>SUMIF('JURNAL UMUM'!$A$8:$G$147,'TRIAL BALANCE'!B24,'JURNAL UMUM'!$F$8:$F$147)</f>
        <v>0.0</v>
      </c>
      <c r="H24" s="280">
        <f>SUMIF('JURNAL UMUM'!$A$8:$G$147,'TRIAL BALANCE'!B24,'JURNAL UMUM'!$G$8:$G$147)</f>
        <v>0.0</v>
      </c>
      <c r="I24" s="280">
        <f t="shared" si="0"/>
        <v>0.0</v>
      </c>
      <c r="J24" s="281">
        <f t="shared" si="1"/>
        <v>0.0</v>
      </c>
    </row>
    <row r="25" spans="8:8">
      <c r="B25" s="11">
        <v>12100.0</v>
      </c>
      <c r="C25" s="8" t="s">
        <v>20</v>
      </c>
      <c r="D25" s="279"/>
      <c r="E25" s="280">
        <f>VLOOKUP(B25,'Master Account'!$A$6:$E$69,4,FALSE)</f>
        <v>0.0</v>
      </c>
      <c r="F25" s="280">
        <f>VLOOKUP(B25,'Master Account'!$A$6:$E$69,5,FALSE)</f>
        <v>0.0</v>
      </c>
      <c r="G25" s="280">
        <f>SUMIF('JURNAL UMUM'!$A$8:$G$147,'TRIAL BALANCE'!B25,'JURNAL UMUM'!$F$8:$F$147)</f>
        <v>0.0</v>
      </c>
      <c r="H25" s="280">
        <f>SUMIF('JURNAL UMUM'!$A$8:$G$147,'TRIAL BALANCE'!B25,'JURNAL UMUM'!$G$8:$G$147)</f>
        <v>0.0</v>
      </c>
      <c r="I25" s="280">
        <f t="shared" si="0"/>
        <v>0.0</v>
      </c>
      <c r="J25" s="281">
        <f t="shared" si="1"/>
        <v>0.0</v>
      </c>
    </row>
    <row r="26" spans="8:8">
      <c r="B26" s="11">
        <v>12101.0</v>
      </c>
      <c r="C26" s="8" t="s">
        <v>21</v>
      </c>
      <c r="D26" s="279"/>
      <c r="E26" s="280">
        <f>VLOOKUP(B26,'Master Account'!$A$6:$E$69,4,FALSE)</f>
        <v>2.5E7</v>
      </c>
      <c r="F26" s="280">
        <f>VLOOKUP(B26,'Master Account'!$A$6:$E$69,5,FALSE)</f>
        <v>0.0</v>
      </c>
      <c r="G26" s="280">
        <f>SUMIF('JURNAL UMUM'!$A$8:$G$147,'TRIAL BALANCE'!B26,'JURNAL UMUM'!$F$8:$F$147)</f>
        <v>0.0</v>
      </c>
      <c r="H26" s="280">
        <f>SUMIF('JURNAL UMUM'!$A$8:$G$147,'TRIAL BALANCE'!B26,'JURNAL UMUM'!$G$8:$G$147)</f>
        <v>0.0</v>
      </c>
      <c r="I26" s="280">
        <f t="shared" si="0"/>
        <v>2.5E7</v>
      </c>
      <c r="J26" s="281">
        <f t="shared" si="1"/>
        <v>0.0</v>
      </c>
    </row>
    <row r="27" spans="8:8">
      <c r="B27" s="11">
        <v>12102.0</v>
      </c>
      <c r="C27" s="8" t="s">
        <v>22</v>
      </c>
      <c r="D27" s="279"/>
      <c r="E27" s="280">
        <f>VLOOKUP(B27,'Master Account'!$A$6:$E$69,4,FALSE)</f>
        <v>0.0</v>
      </c>
      <c r="F27" s="280">
        <f>VLOOKUP(B27,'Master Account'!$A$6:$E$69,5,FALSE)</f>
        <v>7500000.0</v>
      </c>
      <c r="G27" s="280">
        <f>SUMIF('JURNAL UMUM'!$A$8:$G$147,'TRIAL BALANCE'!B27,'JURNAL UMUM'!$F$8:$F$147)</f>
        <v>0.0</v>
      </c>
      <c r="H27" s="280">
        <f>SUMIF('JURNAL UMUM'!$A$8:$G$147,'TRIAL BALANCE'!B27,'JURNAL UMUM'!$G$8:$G$147)</f>
        <v>400000.0</v>
      </c>
      <c r="I27" s="280">
        <f t="shared" si="0"/>
        <v>0.0</v>
      </c>
      <c r="J27" s="281">
        <f t="shared" si="1"/>
        <v>7900000.0</v>
      </c>
    </row>
    <row r="28" spans="8:8">
      <c r="B28" s="11">
        <v>12200.0</v>
      </c>
      <c r="C28" s="8" t="s">
        <v>23</v>
      </c>
      <c r="D28" s="279"/>
      <c r="E28" s="280">
        <f>VLOOKUP(B28,'Master Account'!$A$6:$E$69,4,FALSE)</f>
        <v>0.0</v>
      </c>
      <c r="F28" s="280">
        <f>VLOOKUP(B28,'Master Account'!$A$6:$E$69,5,FALSE)</f>
        <v>0.0</v>
      </c>
      <c r="G28" s="280">
        <f>SUMIF('JURNAL UMUM'!$A$8:$G$147,'TRIAL BALANCE'!B28,'JURNAL UMUM'!$F$8:$F$147)</f>
        <v>0.0</v>
      </c>
      <c r="H28" s="280">
        <f>SUMIF('JURNAL UMUM'!$A$8:$G$147,'TRIAL BALANCE'!B28,'JURNAL UMUM'!$G$8:$G$147)</f>
        <v>0.0</v>
      </c>
      <c r="I28" s="280">
        <f t="shared" si="0"/>
        <v>0.0</v>
      </c>
      <c r="J28" s="281">
        <f t="shared" si="1"/>
        <v>0.0</v>
      </c>
    </row>
    <row r="29" spans="8:8">
      <c r="B29" s="11">
        <v>12201.0</v>
      </c>
      <c r="C29" s="8" t="s">
        <v>24</v>
      </c>
      <c r="D29" s="279"/>
      <c r="E29" s="280">
        <f>VLOOKUP(B29,'Master Account'!$A$6:$E$69,4,FALSE)</f>
        <v>4.5E7</v>
      </c>
      <c r="F29" s="280">
        <f>VLOOKUP(B29,'Master Account'!$A$6:$E$69,5,FALSE)</f>
        <v>0.0</v>
      </c>
      <c r="G29" s="280">
        <f>SUMIF('JURNAL UMUM'!$A$8:$G$147,'TRIAL BALANCE'!B29,'JURNAL UMUM'!$F$8:$F$147)</f>
        <v>1.15E7</v>
      </c>
      <c r="H29" s="280">
        <f>SUMIF('JURNAL UMUM'!$A$8:$G$147,'TRIAL BALANCE'!B29,'JURNAL UMUM'!$G$8:$G$147)</f>
        <v>6000000.0</v>
      </c>
      <c r="I29" s="280">
        <f t="shared" si="0"/>
        <v>5.05E7</v>
      </c>
      <c r="J29" s="281">
        <f t="shared" si="1"/>
        <v>0.0</v>
      </c>
    </row>
    <row r="30" spans="8:8">
      <c r="B30" s="11">
        <v>12202.0</v>
      </c>
      <c r="C30" s="8" t="s">
        <v>25</v>
      </c>
      <c r="D30" s="279"/>
      <c r="E30" s="280">
        <f>VLOOKUP(B30,'Master Account'!$A$6:$E$69,4,FALSE)</f>
        <v>0.0</v>
      </c>
      <c r="F30" s="280">
        <f>VLOOKUP(B30,'Master Account'!$A$6:$E$69,5,FALSE)</f>
        <v>2.5E7</v>
      </c>
      <c r="G30" s="280">
        <f>SUMIF('JURNAL UMUM'!$A$8:$G$147,'TRIAL BALANCE'!B30,'JURNAL UMUM'!$F$8:$F$147)</f>
        <v>1500000.0</v>
      </c>
      <c r="H30" s="280">
        <f>SUMIF('JURNAL UMUM'!$A$8:$G$147,'TRIAL BALANCE'!B30,'JURNAL UMUM'!$G$8:$G$147)</f>
        <v>500000.0</v>
      </c>
      <c r="I30" s="280">
        <f t="shared" si="0"/>
        <v>0.0</v>
      </c>
      <c r="J30" s="281">
        <f t="shared" si="1"/>
        <v>2.4E7</v>
      </c>
    </row>
    <row r="31" spans="8:8">
      <c r="B31" s="6">
        <v>20000.0</v>
      </c>
      <c r="C31" s="7" t="s">
        <v>26</v>
      </c>
      <c r="D31" s="279"/>
      <c r="E31" s="280">
        <f>VLOOKUP(B31,'Master Account'!$A$6:$E$69,4,FALSE)</f>
        <v>0.0</v>
      </c>
      <c r="F31" s="280">
        <f>VLOOKUP(B31,'Master Account'!$A$6:$E$69,5,FALSE)</f>
        <v>0.0</v>
      </c>
      <c r="G31" s="280">
        <f>SUMIF('JURNAL UMUM'!$A$8:$G$147,'TRIAL BALANCE'!B31,'JURNAL UMUM'!$F$8:$F$147)</f>
        <v>0.0</v>
      </c>
      <c r="H31" s="280">
        <f>SUMIF('JURNAL UMUM'!$A$8:$G$147,'TRIAL BALANCE'!B31,'JURNAL UMUM'!$G$8:$G$147)</f>
        <v>0.0</v>
      </c>
      <c r="I31" s="280">
        <f t="shared" si="0"/>
        <v>0.0</v>
      </c>
      <c r="J31" s="281">
        <f t="shared" si="1"/>
        <v>0.0</v>
      </c>
    </row>
    <row r="32" spans="8:8">
      <c r="B32" s="11">
        <v>21000.0</v>
      </c>
      <c r="C32" s="8" t="s">
        <v>27</v>
      </c>
      <c r="D32" s="279"/>
      <c r="E32" s="280">
        <f>VLOOKUP(B32,'Master Account'!$A$6:$E$69,4,FALSE)</f>
        <v>0.0</v>
      </c>
      <c r="F32" s="280">
        <f>VLOOKUP(B32,'Master Account'!$A$6:$E$69,5,FALSE)</f>
        <v>0.0</v>
      </c>
      <c r="G32" s="280">
        <f>SUMIF('JURNAL UMUM'!$A$8:$G$147,'TRIAL BALANCE'!B32,'JURNAL UMUM'!$F$8:$F$147)</f>
        <v>0.0</v>
      </c>
      <c r="H32" s="280">
        <f>SUMIF('JURNAL UMUM'!$A$8:$G$147,'TRIAL BALANCE'!B32,'JURNAL UMUM'!$G$8:$G$147)</f>
        <v>0.0</v>
      </c>
      <c r="I32" s="280">
        <f t="shared" si="0"/>
        <v>0.0</v>
      </c>
      <c r="J32" s="281">
        <f t="shared" si="1"/>
        <v>0.0</v>
      </c>
    </row>
    <row r="33" spans="8:8">
      <c r="B33" s="11">
        <v>21100.0</v>
      </c>
      <c r="C33" s="8" t="s">
        <v>28</v>
      </c>
      <c r="D33" s="279"/>
      <c r="E33" s="280">
        <f>VLOOKUP(B33,'Master Account'!$A$6:$E$69,4,FALSE)</f>
        <v>0.0</v>
      </c>
      <c r="F33" s="280">
        <f>VLOOKUP(B33,'Master Account'!$A$6:$E$69,5,FALSE)</f>
        <v>7.5E7</v>
      </c>
      <c r="G33" s="280">
        <f>SUMIF('JURNAL UMUM'!$A$8:$G$147,'TRIAL BALANCE'!B33,'JURNAL UMUM'!$F$8:$F$147)</f>
        <v>4.63575E7</v>
      </c>
      <c r="H33" s="280">
        <f>SUMIF('JURNAL UMUM'!$A$8:$G$147,'TRIAL BALANCE'!B33,'JURNAL UMUM'!$G$8:$G$147)</f>
        <v>1.7925E7</v>
      </c>
      <c r="I33" s="280">
        <f t="shared" si="0"/>
        <v>0.0</v>
      </c>
      <c r="J33" s="281">
        <f t="shared" si="1"/>
        <v>4.65675E7</v>
      </c>
    </row>
    <row r="34" spans="8:8">
      <c r="B34" s="11">
        <v>21200.0</v>
      </c>
      <c r="C34" s="8" t="s">
        <v>29</v>
      </c>
      <c r="D34" s="279"/>
      <c r="E34" s="280">
        <f>VLOOKUP(B34,'Master Account'!$A$6:$E$69,4,FALSE)</f>
        <v>0.0</v>
      </c>
      <c r="F34" s="280">
        <f>VLOOKUP(B34,'Master Account'!$A$6:$E$69,5,FALSE)</f>
        <v>0.0</v>
      </c>
      <c r="G34" s="280">
        <f>SUMIF('JURNAL UMUM'!$A$8:$G$147,'TRIAL BALANCE'!B34,'JURNAL UMUM'!$F$8:$F$147)</f>
        <v>0.0</v>
      </c>
      <c r="H34" s="280">
        <f>SUMIF('JURNAL UMUM'!$A$8:$G$147,'TRIAL BALANCE'!B34,'JURNAL UMUM'!$G$8:$G$147)</f>
        <v>200000.0</v>
      </c>
      <c r="I34" s="280">
        <f t="shared" si="0"/>
        <v>0.0</v>
      </c>
      <c r="J34" s="281">
        <f t="shared" si="1"/>
        <v>200000.0</v>
      </c>
    </row>
    <row r="35" spans="8:8">
      <c r="B35" s="11">
        <v>21300.0</v>
      </c>
      <c r="C35" s="8" t="s">
        <v>30</v>
      </c>
      <c r="D35" s="279"/>
      <c r="E35" s="280">
        <f>VLOOKUP(B35,'Master Account'!$A$6:$E$69,4,FALSE)</f>
        <v>0.0</v>
      </c>
      <c r="F35" s="280">
        <f>VLOOKUP(B35,'Master Account'!$A$6:$E$69,5,FALSE)</f>
        <v>0.0</v>
      </c>
      <c r="G35" s="280">
        <f>SUMIF('JURNAL UMUM'!$A$8:$G$147,'TRIAL BALANCE'!B35,'JURNAL UMUM'!$F$8:$F$147)</f>
        <v>0.0</v>
      </c>
      <c r="H35" s="280">
        <f>SUMIF('JURNAL UMUM'!$A$8:$G$147,'TRIAL BALANCE'!B35,'JURNAL UMUM'!$G$8:$G$147)</f>
        <v>750000.0</v>
      </c>
      <c r="I35" s="280">
        <f t="shared" si="0"/>
        <v>0.0</v>
      </c>
      <c r="J35" s="281">
        <f t="shared" si="1"/>
        <v>750000.0</v>
      </c>
    </row>
    <row r="36" spans="8:8">
      <c r="B36" s="11">
        <v>21400.0</v>
      </c>
      <c r="C36" s="8" t="s">
        <v>31</v>
      </c>
      <c r="D36" s="279"/>
      <c r="E36" s="280">
        <f>VLOOKUP(B36,'Master Account'!$A$6:$E$69,4,FALSE)</f>
        <v>0.0</v>
      </c>
      <c r="F36" s="280">
        <f>VLOOKUP(B36,'Master Account'!$A$6:$E$69,5,FALSE)</f>
        <v>0.0</v>
      </c>
      <c r="G36" s="280">
        <f>SUMIF('JURNAL UMUM'!$A$8:$G$147,'TRIAL BALANCE'!B36,'JURNAL UMUM'!$F$8:$F$147)</f>
        <v>0.0</v>
      </c>
      <c r="H36" s="280">
        <f>SUMIF('JURNAL UMUM'!$A$8:$G$147,'TRIAL BALANCE'!B36,'JURNAL UMUM'!$G$8:$G$147)</f>
        <v>0.0</v>
      </c>
      <c r="I36" s="280">
        <f t="shared" si="0"/>
        <v>0.0</v>
      </c>
      <c r="J36" s="281">
        <f t="shared" si="1"/>
        <v>0.0</v>
      </c>
    </row>
    <row r="37" spans="8:8">
      <c r="B37" s="11">
        <v>21401.0</v>
      </c>
      <c r="C37" s="8" t="s">
        <v>32</v>
      </c>
      <c r="D37" s="279"/>
      <c r="E37" s="280">
        <f>VLOOKUP(B37,'Master Account'!$A$6:$E$69,4,FALSE)</f>
        <v>0.0</v>
      </c>
      <c r="F37" s="280">
        <f>VLOOKUP(B37,'Master Account'!$A$6:$E$69,5,FALSE)</f>
        <v>0.0</v>
      </c>
      <c r="G37" s="280">
        <f>SUMIF('JURNAL UMUM'!$A$8:$G$147,'TRIAL BALANCE'!B37,'JURNAL UMUM'!$F$8:$F$147)</f>
        <v>0.0</v>
      </c>
      <c r="H37" s="280">
        <f>SUMIF('JURNAL UMUM'!$A$8:$G$147,'TRIAL BALANCE'!B37,'JURNAL UMUM'!$G$8:$G$147)</f>
        <v>725000.0</v>
      </c>
      <c r="I37" s="280">
        <f t="shared" si="0"/>
        <v>0.0</v>
      </c>
      <c r="J37" s="281">
        <f t="shared" si="1"/>
        <v>725000.0</v>
      </c>
    </row>
    <row r="38" spans="8:8">
      <c r="B38" s="11">
        <v>21402.0</v>
      </c>
      <c r="C38" s="8" t="s">
        <v>33</v>
      </c>
      <c r="D38" s="279"/>
      <c r="E38" s="280">
        <f>VLOOKUP(B38,'Master Account'!$A$6:$E$69,4,FALSE)</f>
        <v>0.0</v>
      </c>
      <c r="F38" s="280">
        <f>VLOOKUP(B38,'Master Account'!$A$6:$E$69,5,FALSE)</f>
        <v>0.0</v>
      </c>
      <c r="G38" s="280">
        <f>SUMIF('JURNAL UMUM'!$A$8:$G$147,'TRIAL BALANCE'!B38,'JURNAL UMUM'!$F$8:$F$147)</f>
        <v>0.0</v>
      </c>
      <c r="H38" s="280">
        <f>SUMIF('JURNAL UMUM'!$A$8:$G$147,'TRIAL BALANCE'!B38,'JURNAL UMUM'!$G$8:$G$147)</f>
        <v>250000.0</v>
      </c>
      <c r="I38" s="280">
        <f t="shared" si="0"/>
        <v>0.0</v>
      </c>
      <c r="J38" s="281">
        <f t="shared" si="1"/>
        <v>250000.0</v>
      </c>
    </row>
    <row r="39" spans="8:8">
      <c r="B39" s="11">
        <v>21403.0</v>
      </c>
      <c r="C39" s="8" t="s">
        <v>34</v>
      </c>
      <c r="D39" s="279"/>
      <c r="E39" s="280">
        <f>VLOOKUP(B39,'Master Account'!$A$6:$E$69,4,FALSE)</f>
        <v>0.0</v>
      </c>
      <c r="F39" s="280">
        <f>VLOOKUP(B39,'Master Account'!$A$6:$E$69,5,FALSE)</f>
        <v>0.0</v>
      </c>
      <c r="G39" s="280">
        <f>SUMIF('JURNAL UMUM'!$A$8:$G$147,'TRIAL BALANCE'!B39,'JURNAL UMUM'!$F$8:$F$147)</f>
        <v>212500.0</v>
      </c>
      <c r="H39" s="280">
        <f>SUMIF('JURNAL UMUM'!$A$8:$G$147,'TRIAL BALANCE'!B39,'JURNAL UMUM'!$G$8:$G$147)</f>
        <v>1.418225E7</v>
      </c>
      <c r="I39" s="280">
        <f t="shared" si="0"/>
        <v>0.0</v>
      </c>
      <c r="J39" s="281">
        <f t="shared" si="1"/>
        <v>1.396975E7</v>
      </c>
    </row>
    <row r="40" spans="8:8">
      <c r="B40" s="11">
        <v>22000.0</v>
      </c>
      <c r="C40" s="8" t="s">
        <v>35</v>
      </c>
      <c r="D40" s="279"/>
      <c r="E40" s="280">
        <f>VLOOKUP(B40,'Master Account'!$A$6:$E$69,4,FALSE)</f>
        <v>0.0</v>
      </c>
      <c r="F40" s="280">
        <f>VLOOKUP(B40,'Master Account'!$A$6:$E$69,5,FALSE)</f>
        <v>0.0</v>
      </c>
      <c r="G40" s="280">
        <f>SUMIF('JURNAL UMUM'!$A$8:$G$147,'TRIAL BALANCE'!B40,'JURNAL UMUM'!$F$8:$F$147)</f>
        <v>0.0</v>
      </c>
      <c r="H40" s="280">
        <f>SUMIF('JURNAL UMUM'!$A$8:$G$147,'TRIAL BALANCE'!B40,'JURNAL UMUM'!$G$8:$G$147)</f>
        <v>0.0</v>
      </c>
      <c r="I40" s="280">
        <f t="shared" si="0"/>
        <v>0.0</v>
      </c>
      <c r="J40" s="281">
        <f t="shared" si="1"/>
        <v>0.0</v>
      </c>
    </row>
    <row r="41" spans="8:8">
      <c r="B41" s="11">
        <v>22001.0</v>
      </c>
      <c r="C41" s="8" t="s">
        <v>36</v>
      </c>
      <c r="D41" s="279"/>
      <c r="E41" s="280">
        <f>VLOOKUP(B41,'Master Account'!$A$6:$E$69,4,FALSE)</f>
        <v>0.0</v>
      </c>
      <c r="F41" s="280">
        <f>VLOOKUP(B41,'Master Account'!$A$6:$E$69,5,FALSE)</f>
        <v>7.5E7</v>
      </c>
      <c r="G41" s="280">
        <f>SUMIF('JURNAL UMUM'!$A$8:$G$147,'TRIAL BALANCE'!B41,'JURNAL UMUM'!$F$8:$F$147)</f>
        <v>0.0</v>
      </c>
      <c r="H41" s="280">
        <f>SUMIF('JURNAL UMUM'!$A$8:$G$147,'TRIAL BALANCE'!B41,'JURNAL UMUM'!$G$8:$G$147)</f>
        <v>0.0</v>
      </c>
      <c r="I41" s="280">
        <f t="shared" si="0"/>
        <v>0.0</v>
      </c>
      <c r="J41" s="281">
        <f t="shared" si="1"/>
        <v>7.5E7</v>
      </c>
    </row>
    <row r="42" spans="8:8">
      <c r="B42" s="6">
        <v>30000.0</v>
      </c>
      <c r="C42" s="7" t="s">
        <v>41</v>
      </c>
      <c r="D42" s="279"/>
      <c r="E42" s="280">
        <f>VLOOKUP(B42,'Master Account'!$A$6:$E$69,4,FALSE)</f>
        <v>0.0</v>
      </c>
      <c r="F42" s="280">
        <f>VLOOKUP(B42,'Master Account'!$A$6:$E$69,5,FALSE)</f>
        <v>0.0</v>
      </c>
      <c r="G42" s="280">
        <f>SUMIF('JURNAL UMUM'!$A$8:$G$147,'TRIAL BALANCE'!B42,'JURNAL UMUM'!$F$8:$F$147)</f>
        <v>0.0</v>
      </c>
      <c r="H42" s="280">
        <f>SUMIF('JURNAL UMUM'!$A$8:$G$147,'TRIAL BALANCE'!B42,'JURNAL UMUM'!$G$8:$G$147)</f>
        <v>0.0</v>
      </c>
      <c r="I42" s="280">
        <f t="shared" si="0"/>
        <v>0.0</v>
      </c>
      <c r="J42" s="281">
        <f t="shared" si="1"/>
        <v>0.0</v>
      </c>
    </row>
    <row r="43" spans="8:8">
      <c r="B43" s="11">
        <v>31000.0</v>
      </c>
      <c r="C43" s="8" t="s">
        <v>42</v>
      </c>
      <c r="D43" s="279"/>
      <c r="E43" s="280">
        <f>VLOOKUP(B43,'Master Account'!$A$6:$E$69,4,FALSE)</f>
        <v>0.0</v>
      </c>
      <c r="F43" s="280">
        <f>VLOOKUP(B43,'Master Account'!$A$6:$E$69,5,FALSE)</f>
        <v>1.5E8</v>
      </c>
      <c r="G43" s="280">
        <f>SUMIF('JURNAL UMUM'!$A$8:$G$147,'TRIAL BALANCE'!B43,'JURNAL UMUM'!$F$8:$F$147)</f>
        <v>0.0</v>
      </c>
      <c r="H43" s="280">
        <f>SUMIF('JURNAL UMUM'!$A$8:$G$147,'TRIAL BALANCE'!B43,'JURNAL UMUM'!$G$8:$G$147)</f>
        <v>0.0</v>
      </c>
      <c r="I43" s="280">
        <f t="shared" si="0"/>
        <v>0.0</v>
      </c>
      <c r="J43" s="281">
        <f t="shared" si="1"/>
        <v>1.5E8</v>
      </c>
    </row>
    <row r="44" spans="8:8">
      <c r="B44" s="11">
        <v>32000.0</v>
      </c>
      <c r="C44" s="8" t="s">
        <v>43</v>
      </c>
      <c r="D44" s="279"/>
      <c r="E44" s="280">
        <f>VLOOKUP(B44,'Master Account'!$A$6:$E$69,4,FALSE)</f>
        <v>0.0</v>
      </c>
      <c r="F44" s="280">
        <f>VLOOKUP(B44,'Master Account'!$A$6:$E$69,5,FALSE)</f>
        <v>2.463E7</v>
      </c>
      <c r="G44" s="280">
        <f>SUMIF('JURNAL UMUM'!$A$8:$G$147,'TRIAL BALANCE'!B44,'JURNAL UMUM'!$F$8:$F$147)</f>
        <v>0.0</v>
      </c>
      <c r="H44" s="280">
        <f>SUMIF('JURNAL UMUM'!$A$8:$G$147,'TRIAL BALANCE'!B44,'JURNAL UMUM'!$G$8:$G$147)</f>
        <v>0.0</v>
      </c>
      <c r="I44" s="280">
        <f t="shared" si="0"/>
        <v>0.0</v>
      </c>
      <c r="J44" s="281">
        <f t="shared" si="1"/>
        <v>2.463E7</v>
      </c>
    </row>
    <row r="45" spans="8:8">
      <c r="B45" s="11">
        <v>33000.0</v>
      </c>
      <c r="C45" s="8" t="s">
        <v>44</v>
      </c>
      <c r="D45" s="279"/>
      <c r="E45" s="280">
        <f>VLOOKUP(B45,'Master Account'!$A$6:$E$69,4,FALSE)</f>
        <v>0.0</v>
      </c>
      <c r="F45" s="280">
        <f>VLOOKUP(B45,'Master Account'!$A$6:$E$69,5,FALSE)</f>
        <v>0.0</v>
      </c>
      <c r="G45" s="280">
        <f>SUMIF('JURNAL UMUM'!$A$8:$G$147,'TRIAL BALANCE'!B45,'JURNAL UMUM'!$F$8:$F$147)</f>
        <v>0.0</v>
      </c>
      <c r="H45" s="280">
        <f>SUMIF('JURNAL UMUM'!$A$8:$G$147,'TRIAL BALANCE'!B45,'JURNAL UMUM'!$G$8:$G$147)</f>
        <v>0.0</v>
      </c>
      <c r="I45" s="280">
        <f t="shared" si="0"/>
        <v>0.0</v>
      </c>
      <c r="J45" s="281">
        <f t="shared" si="1"/>
        <v>0.0</v>
      </c>
    </row>
    <row r="46" spans="8:8">
      <c r="B46" s="11">
        <v>39999.0</v>
      </c>
      <c r="C46" s="8" t="s">
        <v>45</v>
      </c>
      <c r="D46" s="279"/>
      <c r="E46" s="280">
        <f>VLOOKUP(B46,'Master Account'!$A$6:$E$69,4,FALSE)</f>
        <v>0.0</v>
      </c>
      <c r="F46" s="280">
        <f>VLOOKUP(B46,'Master Account'!$A$6:$E$69,5,FALSE)</f>
        <v>0.0</v>
      </c>
      <c r="G46" s="280">
        <f>SUMIF('JURNAL UMUM'!$A$8:$G$147,'TRIAL BALANCE'!B46,'JURNAL UMUM'!$F$8:$F$147)</f>
        <v>0.0</v>
      </c>
      <c r="H46" s="280">
        <f>SUMIF('JURNAL UMUM'!$A$8:$G$147,'TRIAL BALANCE'!B46,'JURNAL UMUM'!$G$8:$G$147)</f>
        <v>0.0</v>
      </c>
      <c r="I46" s="280">
        <f t="shared" si="0"/>
        <v>0.0</v>
      </c>
      <c r="J46" s="281">
        <f t="shared" si="1"/>
        <v>0.0</v>
      </c>
    </row>
    <row r="47" spans="8:8">
      <c r="B47" s="6">
        <v>40000.0</v>
      </c>
      <c r="C47" s="7" t="s">
        <v>46</v>
      </c>
      <c r="D47" s="279"/>
      <c r="E47" s="280">
        <f>VLOOKUP(B47,'Master Account'!$A$6:$E$69,4,FALSE)</f>
        <v>0.0</v>
      </c>
      <c r="F47" s="280">
        <f>VLOOKUP(B47,'Master Account'!$A$6:$E$69,5,FALSE)</f>
        <v>0.0</v>
      </c>
      <c r="G47" s="280">
        <f>SUMIF('JURNAL UMUM'!$A$8:$G$147,'TRIAL BALANCE'!B47,'JURNAL UMUM'!$F$8:$F$147)</f>
        <v>0.0</v>
      </c>
      <c r="H47" s="280">
        <f>SUMIF('JURNAL UMUM'!$A$8:$G$147,'TRIAL BALANCE'!B47,'JURNAL UMUM'!$G$8:$G$147)</f>
        <v>0.0</v>
      </c>
      <c r="I47" s="280">
        <f t="shared" si="0"/>
        <v>0.0</v>
      </c>
      <c r="J47" s="281">
        <f t="shared" si="1"/>
        <v>0.0</v>
      </c>
    </row>
    <row r="48" spans="8:8">
      <c r="B48" s="11">
        <v>41000.0</v>
      </c>
      <c r="C48" s="8" t="s">
        <v>47</v>
      </c>
      <c r="D48" s="279"/>
      <c r="E48" s="280">
        <f>VLOOKUP(B48,'Master Account'!$A$6:$E$69,4,FALSE)</f>
        <v>0.0</v>
      </c>
      <c r="F48" s="280">
        <f>VLOOKUP(B48,'Master Account'!$A$6:$E$69,5,FALSE)</f>
        <v>0.0</v>
      </c>
      <c r="G48" s="280">
        <f>SUMIF('JURNAL UMUM'!$A$8:$G$147,'TRIAL BALANCE'!B48,'JURNAL UMUM'!$F$8:$F$147)</f>
        <v>0.0</v>
      </c>
      <c r="H48" s="280">
        <f>SUMIF('JURNAL UMUM'!$A$8:$G$147,'TRIAL BALANCE'!B48,'JURNAL UMUM'!$G$8:$G$147)</f>
        <v>1.43895E8</v>
      </c>
      <c r="I48" s="280">
        <f t="shared" si="0"/>
        <v>0.0</v>
      </c>
      <c r="J48" s="281">
        <f t="shared" si="1"/>
        <v>1.43895E8</v>
      </c>
    </row>
    <row r="49" spans="8:8">
      <c r="B49" s="11">
        <v>42000.0</v>
      </c>
      <c r="C49" s="8" t="s">
        <v>48</v>
      </c>
      <c r="D49" s="279"/>
      <c r="E49" s="280">
        <f>VLOOKUP(B49,'Master Account'!$A$6:$E$69,4,FALSE)</f>
        <v>0.0</v>
      </c>
      <c r="F49" s="280">
        <f>VLOOKUP(B49,'Master Account'!$A$6:$E$69,5,FALSE)</f>
        <v>0.0</v>
      </c>
      <c r="G49" s="280">
        <f>SUMIF('JURNAL UMUM'!$A$8:$G$147,'TRIAL BALANCE'!B49,'JURNAL UMUM'!$F$8:$F$147)</f>
        <v>2125000.0</v>
      </c>
      <c r="H49" s="280">
        <f>SUMIF('JURNAL UMUM'!$A$8:$G$147,'TRIAL BALANCE'!B49,'JURNAL UMUM'!$G$8:$G$147)</f>
        <v>0.0</v>
      </c>
      <c r="I49" s="280">
        <f t="shared" si="0"/>
        <v>2125000.0</v>
      </c>
      <c r="J49" s="281">
        <f t="shared" si="1"/>
        <v>0.0</v>
      </c>
    </row>
    <row r="50" spans="8:8">
      <c r="B50" s="11">
        <v>43000.0</v>
      </c>
      <c r="C50" s="8" t="s">
        <v>49</v>
      </c>
      <c r="D50" s="279"/>
      <c r="E50" s="280">
        <f>VLOOKUP(B50,'Master Account'!$A$6:$E$69,4,FALSE)</f>
        <v>0.0</v>
      </c>
      <c r="F50" s="280">
        <f>VLOOKUP(B50,'Master Account'!$A$6:$E$69,5,FALSE)</f>
        <v>0.0</v>
      </c>
      <c r="G50" s="280">
        <f>SUMIF('JURNAL UMUM'!$A$8:$G$147,'TRIAL BALANCE'!B50,'JURNAL UMUM'!$F$8:$F$147)</f>
        <v>3022500.0</v>
      </c>
      <c r="H50" s="280">
        <f>SUMIF('JURNAL UMUM'!$A$8:$G$147,'TRIAL BALANCE'!B50,'JURNAL UMUM'!$G$8:$G$147)</f>
        <v>0.0</v>
      </c>
      <c r="I50" s="280">
        <f t="shared" si="0"/>
        <v>3022500.0</v>
      </c>
      <c r="J50" s="281">
        <f t="shared" si="1"/>
        <v>0.0</v>
      </c>
    </row>
    <row r="51" spans="8:8">
      <c r="B51" s="6">
        <v>50000.0</v>
      </c>
      <c r="C51" s="7" t="s">
        <v>50</v>
      </c>
      <c r="D51" s="279"/>
      <c r="E51" s="280">
        <f>VLOOKUP(B51,'Master Account'!$A$6:$E$69,4,FALSE)</f>
        <v>0.0</v>
      </c>
      <c r="F51" s="280">
        <f>VLOOKUP(B51,'Master Account'!$A$6:$E$69,5,FALSE)</f>
        <v>0.0</v>
      </c>
      <c r="G51" s="280">
        <f>SUMIF('JURNAL UMUM'!$A$8:$G$147,'TRIAL BALANCE'!B51,'JURNAL UMUM'!$F$8:$F$147)</f>
        <v>0.0</v>
      </c>
      <c r="H51" s="280">
        <f>SUMIF('JURNAL UMUM'!$A$8:$G$147,'TRIAL BALANCE'!B51,'JURNAL UMUM'!$G$8:$G$147)</f>
        <v>0.0</v>
      </c>
      <c r="I51" s="280">
        <f t="shared" si="0"/>
        <v>0.0</v>
      </c>
      <c r="J51" s="281">
        <f t="shared" si="1"/>
        <v>0.0</v>
      </c>
    </row>
    <row r="52" spans="8:8">
      <c r="B52" s="11">
        <v>51000.0</v>
      </c>
      <c r="C52" s="8" t="s">
        <v>51</v>
      </c>
      <c r="D52" s="279"/>
      <c r="E52" s="280">
        <f>VLOOKUP(B52,'Master Account'!$A$6:$E$69,4,FALSE)</f>
        <v>0.0</v>
      </c>
      <c r="F52" s="280">
        <f>VLOOKUP(B52,'Master Account'!$A$6:$E$69,5,FALSE)</f>
        <v>0.0</v>
      </c>
      <c r="G52" s="280">
        <f>SUMIF('JURNAL UMUM'!$A$8:$G$147,'TRIAL BALANCE'!B52,'JURNAL UMUM'!$F$8:$F$147)</f>
        <v>1.18065E8</v>
      </c>
      <c r="H52" s="280">
        <f>SUMIF('JURNAL UMUM'!$A$8:$G$147,'TRIAL BALANCE'!B52,'JURNAL UMUM'!$G$8:$G$147)</f>
        <v>1725000.0</v>
      </c>
      <c r="I52" s="280">
        <f t="shared" si="0"/>
        <v>1.1634E8</v>
      </c>
      <c r="J52" s="281">
        <f t="shared" si="1"/>
        <v>0.0</v>
      </c>
    </row>
    <row r="53" spans="8:8">
      <c r="B53" s="6">
        <v>60000.0</v>
      </c>
      <c r="C53" s="7" t="s">
        <v>52</v>
      </c>
      <c r="D53" s="279"/>
      <c r="E53" s="280">
        <f>VLOOKUP(B53,'Master Account'!$A$6:$E$69,4,FALSE)</f>
        <v>0.0</v>
      </c>
      <c r="F53" s="280">
        <f>VLOOKUP(B53,'Master Account'!$A$6:$E$69,5,FALSE)</f>
        <v>0.0</v>
      </c>
      <c r="G53" s="280">
        <f>SUMIF('JURNAL UMUM'!$A$8:$G$147,'TRIAL BALANCE'!B53,'JURNAL UMUM'!$F$8:$F$147)</f>
        <v>0.0</v>
      </c>
      <c r="H53" s="280">
        <f>SUMIF('JURNAL UMUM'!$A$8:$G$147,'TRIAL BALANCE'!B53,'JURNAL UMUM'!$G$8:$G$147)</f>
        <v>0.0</v>
      </c>
      <c r="I53" s="280">
        <f t="shared" si="0"/>
        <v>0.0</v>
      </c>
      <c r="J53" s="281">
        <f t="shared" si="1"/>
        <v>0.0</v>
      </c>
    </row>
    <row r="54" spans="8:8">
      <c r="B54" s="11">
        <v>61001.0</v>
      </c>
      <c r="C54" s="8" t="s">
        <v>53</v>
      </c>
      <c r="D54" s="279"/>
      <c r="E54" s="280">
        <f>VLOOKUP(B54,'Master Account'!$A$6:$E$69,4,FALSE)</f>
        <v>0.0</v>
      </c>
      <c r="F54" s="280">
        <f>VLOOKUP(B54,'Master Account'!$A$6:$E$69,5,FALSE)</f>
        <v>0.0</v>
      </c>
      <c r="G54" s="280">
        <f>SUMIF('JURNAL UMUM'!$A$8:$G$147,'TRIAL BALANCE'!B54,'JURNAL UMUM'!$F$8:$F$147)</f>
        <v>1.45E7</v>
      </c>
      <c r="H54" s="280">
        <f>SUMIF('JURNAL UMUM'!$A$8:$G$147,'TRIAL BALANCE'!B54,'JURNAL UMUM'!$G$8:$G$147)</f>
        <v>0.0</v>
      </c>
      <c r="I54" s="280">
        <f t="shared" si="0"/>
        <v>1.45E7</v>
      </c>
      <c r="J54" s="281">
        <f t="shared" si="1"/>
        <v>0.0</v>
      </c>
    </row>
    <row r="55" spans="8:8">
      <c r="B55" s="11">
        <v>61002.0</v>
      </c>
      <c r="C55" s="8" t="s">
        <v>54</v>
      </c>
      <c r="D55" s="279"/>
      <c r="E55" s="280">
        <f>VLOOKUP(B55,'Master Account'!$A$6:$E$69,4,FALSE)</f>
        <v>0.0</v>
      </c>
      <c r="F55" s="280">
        <f>VLOOKUP(B55,'Master Account'!$A$6:$E$69,5,FALSE)</f>
        <v>0.0</v>
      </c>
      <c r="G55" s="280">
        <f>SUMIF('JURNAL UMUM'!$A$8:$G$147,'TRIAL BALANCE'!B55,'JURNAL UMUM'!$F$8:$F$147)</f>
        <v>2500000.0</v>
      </c>
      <c r="H55" s="280">
        <f>SUMIF('JURNAL UMUM'!$A$8:$G$147,'TRIAL BALANCE'!B55,'JURNAL UMUM'!$G$8:$G$147)</f>
        <v>0.0</v>
      </c>
      <c r="I55" s="280">
        <f t="shared" si="0"/>
        <v>2500000.0</v>
      </c>
      <c r="J55" s="281">
        <f t="shared" si="1"/>
        <v>0.0</v>
      </c>
    </row>
    <row r="56" spans="8:8">
      <c r="B56" s="11">
        <v>61003.0</v>
      </c>
      <c r="C56" s="8" t="s">
        <v>55</v>
      </c>
      <c r="D56" s="279"/>
      <c r="E56" s="280">
        <f>VLOOKUP(B56,'Master Account'!$A$6:$E$69,4,FALSE)</f>
        <v>0.0</v>
      </c>
      <c r="F56" s="280">
        <f>VLOOKUP(B56,'Master Account'!$A$6:$E$69,5,FALSE)</f>
        <v>0.0</v>
      </c>
      <c r="G56" s="280">
        <f>SUMIF('JURNAL UMUM'!$A$8:$G$147,'TRIAL BALANCE'!B56,'JURNAL UMUM'!$F$8:$F$147)</f>
        <v>2901750.0</v>
      </c>
      <c r="H56" s="280">
        <f>SUMIF('JURNAL UMUM'!$A$8:$G$147,'TRIAL BALANCE'!B56,'JURNAL UMUM'!$G$8:$G$147)</f>
        <v>0.0</v>
      </c>
      <c r="I56" s="280">
        <f t="shared" si="0"/>
        <v>2901750.0</v>
      </c>
      <c r="J56" s="281">
        <f t="shared" si="1"/>
        <v>0.0</v>
      </c>
    </row>
    <row r="57" spans="8:8">
      <c r="B57" s="11">
        <v>61004.0</v>
      </c>
      <c r="C57" s="8" t="s">
        <v>56</v>
      </c>
      <c r="D57" s="279"/>
      <c r="E57" s="280">
        <f>VLOOKUP(B57,'Master Account'!$A$6:$E$69,4,FALSE)</f>
        <v>0.0</v>
      </c>
      <c r="F57" s="280">
        <f>VLOOKUP(B57,'Master Account'!$A$6:$E$69,5,FALSE)</f>
        <v>0.0</v>
      </c>
      <c r="G57" s="280">
        <f>SUMIF('JURNAL UMUM'!$A$8:$G$147,'TRIAL BALANCE'!B57,'JURNAL UMUM'!$F$8:$F$147)</f>
        <v>175000.0</v>
      </c>
      <c r="H57" s="280">
        <f>SUMIF('JURNAL UMUM'!$A$8:$G$147,'TRIAL BALANCE'!B57,'JURNAL UMUM'!$G$8:$G$147)</f>
        <v>0.0</v>
      </c>
      <c r="I57" s="280">
        <f t="shared" si="0"/>
        <v>175000.0</v>
      </c>
      <c r="J57" s="281">
        <f t="shared" si="1"/>
        <v>0.0</v>
      </c>
    </row>
    <row r="58" spans="8:8">
      <c r="B58" s="11">
        <v>61005.0</v>
      </c>
      <c r="C58" s="8" t="s">
        <v>57</v>
      </c>
      <c r="D58" s="279"/>
      <c r="E58" s="280">
        <f>VLOOKUP(B58,'Master Account'!$A$6:$E$69,4,FALSE)</f>
        <v>0.0</v>
      </c>
      <c r="F58" s="280">
        <f>VLOOKUP(B58,'Master Account'!$A$6:$E$69,5,FALSE)</f>
        <v>0.0</v>
      </c>
      <c r="G58" s="280">
        <f>SUMIF('JURNAL UMUM'!$A$8:$G$147,'TRIAL BALANCE'!B58,'JURNAL UMUM'!$F$8:$F$147)</f>
        <v>212500.0</v>
      </c>
      <c r="H58" s="280">
        <f>SUMIF('JURNAL UMUM'!$A$8:$G$147,'TRIAL BALANCE'!B58,'JURNAL UMUM'!$G$8:$G$147)</f>
        <v>0.0</v>
      </c>
      <c r="I58" s="280">
        <f t="shared" si="0"/>
        <v>212500.0</v>
      </c>
      <c r="J58" s="281">
        <f t="shared" si="1"/>
        <v>0.0</v>
      </c>
    </row>
    <row r="59" spans="8:8">
      <c r="B59" s="11">
        <v>61006.0</v>
      </c>
      <c r="C59" s="8" t="s">
        <v>58</v>
      </c>
      <c r="D59" s="279"/>
      <c r="E59" s="280">
        <f>VLOOKUP(B59,'Master Account'!$A$6:$E$69,4,FALSE)</f>
        <v>0.0</v>
      </c>
      <c r="F59" s="280">
        <f>VLOOKUP(B59,'Master Account'!$A$6:$E$69,5,FALSE)</f>
        <v>0.0</v>
      </c>
      <c r="G59" s="280">
        <f>SUMIF('JURNAL UMUM'!$A$8:$G$147,'TRIAL BALANCE'!B59,'JURNAL UMUM'!$F$8:$F$147)</f>
        <v>400000.0</v>
      </c>
      <c r="H59" s="280">
        <f>SUMIF('JURNAL UMUM'!$A$8:$G$147,'TRIAL BALANCE'!B59,'JURNAL UMUM'!$G$8:$G$147)</f>
        <v>0.0</v>
      </c>
      <c r="I59" s="280">
        <f t="shared" si="0"/>
        <v>400000.0</v>
      </c>
      <c r="J59" s="281">
        <f t="shared" si="1"/>
        <v>0.0</v>
      </c>
    </row>
    <row r="60" spans="8:8">
      <c r="B60" s="11">
        <v>61007.0</v>
      </c>
      <c r="C60" s="8" t="s">
        <v>59</v>
      </c>
      <c r="D60" s="279"/>
      <c r="E60" s="280">
        <f>VLOOKUP(B60,'Master Account'!$A$6:$E$69,4,FALSE)</f>
        <v>0.0</v>
      </c>
      <c r="F60" s="280">
        <f>VLOOKUP(B60,'Master Account'!$A$6:$E$69,5,FALSE)</f>
        <v>0.0</v>
      </c>
      <c r="G60" s="280">
        <f>SUMIF('JURNAL UMUM'!$A$8:$G$147,'TRIAL BALANCE'!B60,'JURNAL UMUM'!$F$8:$F$147)</f>
        <v>500000.0</v>
      </c>
      <c r="H60" s="280">
        <f>SUMIF('JURNAL UMUM'!$A$8:$G$147,'TRIAL BALANCE'!B60,'JURNAL UMUM'!$G$8:$G$147)</f>
        <v>0.0</v>
      </c>
      <c r="I60" s="280">
        <f t="shared" si="0"/>
        <v>500000.0</v>
      </c>
      <c r="J60" s="281">
        <f t="shared" si="1"/>
        <v>0.0</v>
      </c>
    </row>
    <row r="61" spans="8:8">
      <c r="B61" s="11">
        <v>61008.0</v>
      </c>
      <c r="C61" s="8" t="s">
        <v>60</v>
      </c>
      <c r="D61" s="279"/>
      <c r="E61" s="280">
        <f>VLOOKUP(B61,'Master Account'!$A$6:$E$69,4,FALSE)</f>
        <v>0.0</v>
      </c>
      <c r="F61" s="280">
        <f>VLOOKUP(B61,'Master Account'!$A$6:$E$69,5,FALSE)</f>
        <v>0.0</v>
      </c>
      <c r="G61" s="280">
        <f>SUMIF('JURNAL UMUM'!$A$8:$G$147,'TRIAL BALANCE'!B61,'JURNAL UMUM'!$F$8:$F$147)</f>
        <v>750000.0</v>
      </c>
      <c r="H61" s="280">
        <f>SUMIF('JURNAL UMUM'!$A$8:$G$147,'TRIAL BALANCE'!B61,'JURNAL UMUM'!$G$8:$G$147)</f>
        <v>0.0</v>
      </c>
      <c r="I61" s="280">
        <f t="shared" si="0"/>
        <v>750000.0</v>
      </c>
      <c r="J61" s="281">
        <f t="shared" si="1"/>
        <v>0.0</v>
      </c>
    </row>
    <row r="62" spans="8:8">
      <c r="B62" s="11">
        <v>61009.0</v>
      </c>
      <c r="C62" s="8" t="s">
        <v>61</v>
      </c>
      <c r="D62" s="279"/>
      <c r="E62" s="280">
        <f>VLOOKUP(B62,'Master Account'!$A$6:$E$69,4,FALSE)</f>
        <v>0.0</v>
      </c>
      <c r="F62" s="280">
        <f>VLOOKUP(B62,'Master Account'!$A$6:$E$69,5,FALSE)</f>
        <v>0.0</v>
      </c>
      <c r="G62" s="280">
        <f>SUMIF('JURNAL UMUM'!$A$8:$G$147,'TRIAL BALANCE'!B62,'JURNAL UMUM'!$F$8:$F$147)</f>
        <v>250000.0</v>
      </c>
      <c r="H62" s="280">
        <f>SUMIF('JURNAL UMUM'!$A$8:$G$147,'TRIAL BALANCE'!B62,'JURNAL UMUM'!$G$8:$G$147)</f>
        <v>0.0</v>
      </c>
      <c r="I62" s="280">
        <f t="shared" si="0"/>
        <v>250000.0</v>
      </c>
      <c r="J62" s="281">
        <f t="shared" si="1"/>
        <v>0.0</v>
      </c>
    </row>
    <row r="63" spans="8:8">
      <c r="B63" s="11">
        <v>61010.0</v>
      </c>
      <c r="C63" s="8" t="s">
        <v>62</v>
      </c>
      <c r="D63" s="279"/>
      <c r="E63" s="280">
        <f>VLOOKUP(B63,'Master Account'!$A$6:$E$69,4,FALSE)</f>
        <v>0.0</v>
      </c>
      <c r="F63" s="280">
        <f>VLOOKUP(B63,'Master Account'!$A$6:$E$69,5,FALSE)</f>
        <v>0.0</v>
      </c>
      <c r="G63" s="280">
        <f>SUMIF('JURNAL UMUM'!$A$8:$G$147,'TRIAL BALANCE'!B63,'JURNAL UMUM'!$F$8:$F$147)</f>
        <v>200000.0</v>
      </c>
      <c r="H63" s="280">
        <f>SUMIF('JURNAL UMUM'!$A$8:$G$147,'TRIAL BALANCE'!B63,'JURNAL UMUM'!$G$8:$G$147)</f>
        <v>0.0</v>
      </c>
      <c r="I63" s="280">
        <f t="shared" si="0"/>
        <v>200000.0</v>
      </c>
      <c r="J63" s="281">
        <f t="shared" si="1"/>
        <v>0.0</v>
      </c>
    </row>
    <row r="64" spans="8:8">
      <c r="B64" s="11">
        <v>61011.0</v>
      </c>
      <c r="C64" s="8" t="s">
        <v>63</v>
      </c>
      <c r="D64" s="279"/>
      <c r="E64" s="280">
        <f>VLOOKUP(B64,'Master Account'!$A$6:$E$69,4,FALSE)</f>
        <v>0.0</v>
      </c>
      <c r="F64" s="280">
        <f>VLOOKUP(B64,'Master Account'!$A$6:$E$69,5,FALSE)</f>
        <v>0.0</v>
      </c>
      <c r="G64" s="280">
        <f>SUMIF('JURNAL UMUM'!$A$8:$G$147,'TRIAL BALANCE'!B64,'JURNAL UMUM'!$F$8:$F$147)</f>
        <v>50000.0</v>
      </c>
      <c r="H64" s="280">
        <f>SUMIF('JURNAL UMUM'!$A$8:$G$147,'TRIAL BALANCE'!B64,'JURNAL UMUM'!$G$8:$G$147)</f>
        <v>0.0</v>
      </c>
      <c r="I64" s="280">
        <f t="shared" si="0"/>
        <v>50000.0</v>
      </c>
      <c r="J64" s="281">
        <f t="shared" si="1"/>
        <v>0.0</v>
      </c>
    </row>
    <row r="65" spans="8:8">
      <c r="B65" s="11">
        <v>61099.0</v>
      </c>
      <c r="C65" s="8" t="s">
        <v>64</v>
      </c>
      <c r="D65" s="279"/>
      <c r="E65" s="280">
        <f>VLOOKUP(B65,'Master Account'!$A$6:$E$69,4,FALSE)</f>
        <v>0.0</v>
      </c>
      <c r="F65" s="280">
        <f>VLOOKUP(B65,'Master Account'!$A$6:$E$69,5,FALSE)</f>
        <v>0.0</v>
      </c>
      <c r="G65" s="280">
        <f>SUMIF('JURNAL UMUM'!$A$8:$G$147,'TRIAL BALANCE'!B65,'JURNAL UMUM'!$F$8:$F$147)</f>
        <v>0.0</v>
      </c>
      <c r="H65" s="280">
        <f>SUMIF('JURNAL UMUM'!$A$8:$G$147,'TRIAL BALANCE'!B65,'JURNAL UMUM'!$G$8:$G$147)</f>
        <v>0.0</v>
      </c>
      <c r="I65" s="280">
        <f t="shared" si="0"/>
        <v>0.0</v>
      </c>
      <c r="J65" s="281">
        <f t="shared" si="1"/>
        <v>0.0</v>
      </c>
    </row>
    <row r="66" spans="8:8">
      <c r="B66" s="6">
        <v>80000.0</v>
      </c>
      <c r="C66" s="7" t="s">
        <v>245</v>
      </c>
      <c r="D66" s="279"/>
      <c r="E66" s="280">
        <f>VLOOKUP(B66,'Master Account'!$A$6:$E$69,4,FALSE)</f>
        <v>0.0</v>
      </c>
      <c r="F66" s="280">
        <f>VLOOKUP(B66,'Master Account'!$A$6:$E$69,5,FALSE)</f>
        <v>0.0</v>
      </c>
      <c r="G66" s="280">
        <f>SUMIF('JURNAL UMUM'!$A$8:$G$147,'TRIAL BALANCE'!B66,'JURNAL UMUM'!$F$8:$F$147)</f>
        <v>0.0</v>
      </c>
      <c r="H66" s="280">
        <f>SUMIF('JURNAL UMUM'!$A$8:$G$147,'TRIAL BALANCE'!B66,'JURNAL UMUM'!$G$8:$G$147)</f>
        <v>0.0</v>
      </c>
      <c r="I66" s="280">
        <f t="shared" si="0"/>
        <v>0.0</v>
      </c>
      <c r="J66" s="281">
        <f t="shared" si="1"/>
        <v>0.0</v>
      </c>
    </row>
    <row r="67" spans="8:8">
      <c r="B67" s="11">
        <v>81001.0</v>
      </c>
      <c r="C67" s="8" t="s">
        <v>65</v>
      </c>
      <c r="D67" s="279"/>
      <c r="E67" s="280">
        <f>VLOOKUP(B67,'Master Account'!$A$6:$E$69,4,FALSE)</f>
        <v>0.0</v>
      </c>
      <c r="F67" s="280">
        <f>VLOOKUP(B67,'Master Account'!$A$6:$E$69,5,FALSE)</f>
        <v>0.0</v>
      </c>
      <c r="G67" s="280">
        <f>SUMIF('JURNAL UMUM'!$A$8:$G$147,'TRIAL BALANCE'!B67,'JURNAL UMUM'!$F$8:$F$147)</f>
        <v>0.0</v>
      </c>
      <c r="H67" s="280">
        <f>SUMIF('JURNAL UMUM'!$A$8:$G$147,'TRIAL BALANCE'!B67,'JURNAL UMUM'!$G$8:$G$147)</f>
        <v>1000000.0</v>
      </c>
      <c r="I67" s="280">
        <f t="shared" si="0"/>
        <v>0.0</v>
      </c>
      <c r="J67" s="281">
        <f t="shared" si="1"/>
        <v>1000000.0</v>
      </c>
    </row>
    <row r="68" spans="8:8">
      <c r="B68" s="11">
        <v>81002.0</v>
      </c>
      <c r="C68" s="8" t="s">
        <v>66</v>
      </c>
      <c r="D68" s="279"/>
      <c r="E68" s="280">
        <f>VLOOKUP(B68,'Master Account'!$A$6:$E$69,4,FALSE)</f>
        <v>0.0</v>
      </c>
      <c r="F68" s="280">
        <f>VLOOKUP(B68,'Master Account'!$A$6:$E$69,5,FALSE)</f>
        <v>0.0</v>
      </c>
      <c r="G68" s="280">
        <f>SUMIF('JURNAL UMUM'!$A$8:$G$147,'TRIAL BALANCE'!B68,'JURNAL UMUM'!$F$8:$F$147)</f>
        <v>0.0</v>
      </c>
      <c r="H68" s="280">
        <f>SUMIF('JURNAL UMUM'!$A$8:$G$147,'TRIAL BALANCE'!B68,'JURNAL UMUM'!$G$8:$G$147)</f>
        <v>1350000.0</v>
      </c>
      <c r="I68" s="280">
        <f t="shared" si="0"/>
        <v>0.0</v>
      </c>
      <c r="J68" s="281">
        <f t="shared" si="1"/>
        <v>1350000.0</v>
      </c>
    </row>
    <row r="69" spans="8:8">
      <c r="B69" s="6">
        <v>90000.0</v>
      </c>
      <c r="C69" s="7" t="s">
        <v>67</v>
      </c>
      <c r="D69" s="279"/>
      <c r="E69" s="280">
        <f>VLOOKUP(B69,'Master Account'!$A$6:$E$69,4,FALSE)</f>
        <v>0.0</v>
      </c>
      <c r="F69" s="280">
        <f>VLOOKUP(B69,'Master Account'!$A$6:$E$69,5,FALSE)</f>
        <v>0.0</v>
      </c>
      <c r="G69" s="280">
        <f>SUMIF('JURNAL UMUM'!$A$8:$G$147,'TRIAL BALANCE'!B69,'JURNAL UMUM'!$F$8:$F$147)</f>
        <v>0.0</v>
      </c>
      <c r="H69" s="280">
        <f>SUMIF('JURNAL UMUM'!$A$8:$G$147,'TRIAL BALANCE'!B69,'JURNAL UMUM'!$G$8:$G$147)</f>
        <v>0.0</v>
      </c>
      <c r="I69" s="280">
        <f t="shared" si="0"/>
        <v>0.0</v>
      </c>
      <c r="J69" s="281">
        <f t="shared" si="1"/>
        <v>0.0</v>
      </c>
    </row>
    <row r="70" spans="8:8">
      <c r="A70" s="282"/>
      <c r="B70" s="11">
        <v>91001.0</v>
      </c>
      <c r="C70" s="8" t="s">
        <v>68</v>
      </c>
      <c r="D70" s="279"/>
      <c r="E70" s="280">
        <f>VLOOKUP(B70,'Master Account'!$A$6:$E$69,4,FALSE)</f>
        <v>0.0</v>
      </c>
      <c r="F70" s="280">
        <f>VLOOKUP(B70,'Master Account'!$A$6:$E$69,5,FALSE)</f>
        <v>0.0</v>
      </c>
      <c r="G70" s="280">
        <f>SUMIF('JURNAL UMUM'!$A$8:$G$147,'TRIAL BALANCE'!B70,'JURNAL UMUM'!$F$8:$F$147)</f>
        <v>150000.0</v>
      </c>
      <c r="H70" s="280">
        <f>SUMIF('JURNAL UMUM'!$A$8:$G$147,'TRIAL BALANCE'!B70,'JURNAL UMUM'!$G$8:$G$147)</f>
        <v>0.0</v>
      </c>
      <c r="I70" s="280">
        <f t="shared" si="0"/>
        <v>150000.0</v>
      </c>
      <c r="J70" s="281">
        <f t="shared" si="1"/>
        <v>0.0</v>
      </c>
    </row>
    <row r="71" spans="8:8">
      <c r="B71" s="11">
        <v>91002.0</v>
      </c>
      <c r="C71" s="8" t="s">
        <v>190</v>
      </c>
      <c r="D71" s="283"/>
      <c r="E71" s="284">
        <f>VLOOKUP(B71,'Master Account'!$A$6:$E$69,4,FALSE)</f>
        <v>0.0</v>
      </c>
      <c r="F71" s="284">
        <f>VLOOKUP(B71,'Master Account'!$A$6:$E$69,5,FALSE)</f>
        <v>0.0</v>
      </c>
      <c r="G71" s="280">
        <f>SUMIF('JURNAL UMUM'!$A$8:$G$147,'TRIAL BALANCE'!B71,'JURNAL UMUM'!$F$8:$F$147)</f>
        <v>750000.0</v>
      </c>
      <c r="H71" s="280">
        <f>SUMIF('JURNAL UMUM'!$A$8:$G$147,'TRIAL BALANCE'!B71,'JURNAL UMUM'!$G$8:$G$147)</f>
        <v>0.0</v>
      </c>
      <c r="I71" s="280">
        <f t="shared" si="0"/>
        <v>750000.0</v>
      </c>
      <c r="J71" s="281">
        <f t="shared" si="1"/>
        <v>0.0</v>
      </c>
    </row>
    <row r="72" spans="8:8">
      <c r="B72" s="285"/>
      <c r="C72" s="286" t="s">
        <v>176</v>
      </c>
      <c r="D72" s="287"/>
      <c r="E72" s="288">
        <f>SUM(E8:E71)</f>
        <v>3.5713E8</v>
      </c>
      <c r="F72" s="288">
        <f t="shared" si="2" ref="F72:J72">SUM(F8:F71)</f>
        <v>3.5713E8</v>
      </c>
      <c r="G72" s="288">
        <f>SUM(G8:G71)</f>
        <v>4.804765E8</v>
      </c>
      <c r="H72" s="288">
        <f t="shared" si="2"/>
        <v>4.804765E8</v>
      </c>
      <c r="I72" s="288">
        <f t="shared" si="2"/>
        <v>4.93139E8</v>
      </c>
      <c r="J72" s="288">
        <f t="shared" si="2"/>
        <v>4.93139E8</v>
      </c>
    </row>
    <row r="73" spans="8:8">
      <c r="G73" s="289">
        <f>H72-G72</f>
        <v>0.0</v>
      </c>
      <c r="J73" s="289"/>
    </row>
  </sheetData>
  <mergeCells count="6">
    <mergeCell ref="B5:B6"/>
    <mergeCell ref="G5:H5"/>
    <mergeCell ref="I5:J5"/>
    <mergeCell ref="E5:F5"/>
    <mergeCell ref="D5:D6"/>
    <mergeCell ref="C5:C6"/>
  </mergeCell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="http://schemas.openxmlformats.org/spreadsheetml/2006/main">
  <dimension ref="B1:I40"/>
  <sheetViews>
    <sheetView workbookViewId="0" topLeftCell="A6">
      <selection activeCell="H15" sqref="H15"/>
    </sheetView>
  </sheetViews>
  <sheetFormatPr defaultRowHeight="15.0" defaultColWidth="10"/>
  <cols>
    <col min="2" max="2" customWidth="1" width="5.0" style="290"/>
    <col min="3" max="3" customWidth="1" width="35.710938" style="290"/>
    <col min="4" max="4" customWidth="1" width="6.5703125" style="290"/>
    <col min="5" max="5" customWidth="1" width="17.570312" style="290"/>
    <col min="6" max="6" customWidth="1" width="17.710938" style="290"/>
    <col min="7" max="7" customWidth="1" width="6.2851562" style="290"/>
    <col min="8" max="8" customWidth="1" width="19.425781" style="290"/>
  </cols>
  <sheetData>
    <row r="2" spans="8:8" ht="15.75">
      <c r="B2" s="291" t="s">
        <v>69</v>
      </c>
      <c r="C2" s="291"/>
      <c r="D2" s="291"/>
      <c r="E2" s="291"/>
      <c r="F2" s="291"/>
      <c r="G2" s="291"/>
      <c r="H2" s="291"/>
    </row>
    <row r="3" spans="8:8" ht="15.75">
      <c r="B3" s="292" t="s">
        <v>177</v>
      </c>
      <c r="C3" s="292"/>
      <c r="D3" s="292"/>
      <c r="E3" s="292"/>
      <c r="F3" s="292"/>
      <c r="G3" s="292"/>
      <c r="H3" s="292"/>
    </row>
    <row r="4" spans="8:8" ht="15.75">
      <c r="B4" s="291" t="s">
        <v>178</v>
      </c>
      <c r="C4" s="291"/>
      <c r="D4" s="291"/>
      <c r="E4" s="291"/>
      <c r="F4" s="291"/>
      <c r="G4" s="291"/>
      <c r="H4" s="291"/>
    </row>
    <row r="6" spans="8:8">
      <c r="B6" s="293" t="s">
        <v>179</v>
      </c>
    </row>
    <row r="7" spans="8:8">
      <c r="C7" s="290" t="s">
        <v>47</v>
      </c>
      <c r="D7" s="294"/>
      <c r="E7" s="295"/>
      <c r="F7" s="295">
        <f>VLOOKUP(C7,'TRIAL BALANCE'!$C$7:$J$71,8,FALSE)</f>
        <v>1.43895E8</v>
      </c>
      <c r="G7" s="295"/>
      <c r="H7" s="295"/>
    </row>
    <row r="8" spans="8:8">
      <c r="C8" s="290" t="s">
        <v>48</v>
      </c>
      <c r="D8" s="294"/>
      <c r="E8" s="295">
        <f>VLOOKUP(C8,'TRIAL BALANCE'!$C$7:$J$71,7,FALSE)</f>
        <v>2125000.0</v>
      </c>
      <c r="F8" s="295"/>
      <c r="G8" s="295"/>
      <c r="H8" s="295"/>
    </row>
    <row r="9" spans="8:8">
      <c r="C9" s="290" t="s">
        <v>49</v>
      </c>
      <c r="D9" s="294"/>
      <c r="E9" s="295">
        <f>VLOOKUP(C9,'TRIAL BALANCE'!$C$7:$J$71,7,FALSE)</f>
        <v>3022500.0</v>
      </c>
      <c r="F9" s="295"/>
      <c r="G9" s="295"/>
      <c r="H9" s="295"/>
    </row>
    <row r="10" spans="8:8">
      <c r="C10" s="296" t="s">
        <v>180</v>
      </c>
      <c r="D10" s="297"/>
      <c r="E10" s="295"/>
      <c r="F10" s="298">
        <f>SUM(E8:E9)</f>
        <v>5147500.0</v>
      </c>
      <c r="G10" s="295"/>
      <c r="H10" s="295"/>
    </row>
    <row r="11" spans="8:8">
      <c r="B11" s="299" t="s">
        <v>181</v>
      </c>
      <c r="C11" s="300"/>
      <c r="D11" s="294"/>
      <c r="E11" s="295"/>
      <c r="F11" s="295"/>
      <c r="G11" s="295"/>
      <c r="H11" s="301">
        <f>F7-F10</f>
        <v>1.387475E8</v>
      </c>
    </row>
    <row r="12" spans="8:8">
      <c r="B12" s="296" t="s">
        <v>182</v>
      </c>
      <c r="D12" s="294"/>
      <c r="E12" s="295"/>
      <c r="F12" s="295"/>
      <c r="G12" s="295"/>
      <c r="H12" s="295"/>
    </row>
    <row r="13" spans="8:8">
      <c r="C13" s="290" t="s">
        <v>51</v>
      </c>
      <c r="D13" s="294"/>
      <c r="E13" s="295"/>
      <c r="F13" s="301">
        <f>VLOOKUP(C13,'TRIAL BALANCE'!$C$7:$J$71,7,FALSE)</f>
        <v>1.1634E8</v>
      </c>
      <c r="G13" s="295"/>
    </row>
    <row r="14" spans="8:8" s="12" ht="15.0" customFormat="1">
      <c r="B14" s="296" t="s">
        <v>182</v>
      </c>
      <c r="C14" s="290"/>
      <c r="D14" s="294"/>
      <c r="E14" s="295"/>
      <c r="F14" s="301"/>
      <c r="G14" s="295"/>
      <c r="H14" s="298">
        <f>F13</f>
        <v>1.1634E8</v>
      </c>
    </row>
    <row r="15" spans="8:8">
      <c r="C15" s="302" t="s">
        <v>183</v>
      </c>
      <c r="D15" s="297"/>
      <c r="E15" s="301"/>
      <c r="F15" s="301"/>
      <c r="G15" s="301"/>
      <c r="H15" s="301">
        <f>H11-H14</f>
        <v>2.24075E7</v>
      </c>
    </row>
    <row r="16" spans="8:8">
      <c r="B16" s="296" t="s">
        <v>184</v>
      </c>
      <c r="D16" s="294"/>
      <c r="E16" s="295"/>
      <c r="F16" s="295"/>
      <c r="G16" s="295"/>
      <c r="H16" s="295"/>
    </row>
    <row r="17" spans="8:8">
      <c r="C17" s="290" t="s">
        <v>53</v>
      </c>
      <c r="D17" s="294"/>
      <c r="F17" s="295">
        <f>VLOOKUP(C17,'TRIAL BALANCE'!$C$7:$J$71,7,FALSE)</f>
        <v>1.45E7</v>
      </c>
      <c r="G17" s="295"/>
      <c r="H17" s="295"/>
    </row>
    <row r="18" spans="8:8">
      <c r="C18" s="290" t="s">
        <v>54</v>
      </c>
      <c r="D18" s="294"/>
      <c r="F18" s="295">
        <f>VLOOKUP(C18,'TRIAL BALANCE'!$C$7:$J$71,7,FALSE)</f>
        <v>2500000.0</v>
      </c>
      <c r="G18" s="295"/>
      <c r="H18" s="295"/>
    </row>
    <row r="19" spans="8:8">
      <c r="C19" s="290" t="s">
        <v>55</v>
      </c>
      <c r="D19" s="294"/>
      <c r="F19" s="295">
        <f>VLOOKUP(C19,'TRIAL BALANCE'!$C$7:$J$71,7,FALSE)</f>
        <v>2901750.0</v>
      </c>
      <c r="G19" s="295"/>
      <c r="H19" s="295"/>
    </row>
    <row r="20" spans="8:8">
      <c r="C20" s="290" t="s">
        <v>56</v>
      </c>
      <c r="D20" s="294"/>
      <c r="F20" s="295">
        <f>VLOOKUP(C20,'TRIAL BALANCE'!$C$7:$J$71,7,FALSE)</f>
        <v>175000.0</v>
      </c>
      <c r="G20" s="295"/>
      <c r="H20" s="295"/>
    </row>
    <row r="21" spans="8:8">
      <c r="C21" s="290" t="s">
        <v>57</v>
      </c>
      <c r="D21" s="294"/>
      <c r="F21" s="295">
        <f>VLOOKUP(C21,'TRIAL BALANCE'!$C$7:$J$71,7,FALSE)</f>
        <v>212500.0</v>
      </c>
      <c r="G21" s="295"/>
      <c r="H21" s="295"/>
    </row>
    <row r="22" spans="8:8">
      <c r="C22" s="290" t="s">
        <v>58</v>
      </c>
      <c r="D22" s="294"/>
      <c r="F22" s="295">
        <f>VLOOKUP(C22,'TRIAL BALANCE'!$C$7:$J$71,7,FALSE)</f>
        <v>400000.0</v>
      </c>
      <c r="G22" s="295"/>
      <c r="H22" s="295"/>
    </row>
    <row r="23" spans="8:8">
      <c r="B23" s="299"/>
      <c r="C23" s="290" t="s">
        <v>59</v>
      </c>
      <c r="D23" s="297"/>
      <c r="F23" s="295">
        <f>VLOOKUP(C23,'TRIAL BALANCE'!$C$7:$J$71,7,FALSE)</f>
        <v>500000.0</v>
      </c>
      <c r="G23" s="301"/>
      <c r="H23" s="295"/>
    </row>
    <row r="24" spans="8:8">
      <c r="B24" s="296"/>
      <c r="C24" s="290" t="s">
        <v>60</v>
      </c>
      <c r="D24" s="294"/>
      <c r="F24" s="295">
        <f>VLOOKUP(C24,'TRIAL BALANCE'!$C$7:$J$71,7,FALSE)</f>
        <v>750000.0</v>
      </c>
      <c r="G24" s="295"/>
      <c r="H24" s="295"/>
    </row>
    <row r="25" spans="8:8">
      <c r="C25" s="290" t="s">
        <v>61</v>
      </c>
      <c r="D25" s="294"/>
      <c r="F25" s="295">
        <f>VLOOKUP(C25,'TRIAL BALANCE'!$C$7:$J$71,7,FALSE)</f>
        <v>250000.0</v>
      </c>
      <c r="G25" s="295"/>
      <c r="H25" s="295"/>
    </row>
    <row r="26" spans="8:8">
      <c r="C26" s="290" t="s">
        <v>62</v>
      </c>
      <c r="D26" s="294"/>
      <c r="F26" s="295">
        <f>VLOOKUP(C26,'TRIAL BALANCE'!$C$7:$J$71,7,FALSE)</f>
        <v>200000.0</v>
      </c>
      <c r="G26" s="295"/>
      <c r="H26" s="295"/>
    </row>
    <row r="27" spans="8:8">
      <c r="C27" s="290" t="s">
        <v>63</v>
      </c>
      <c r="D27" s="294"/>
      <c r="F27" s="295">
        <f>VLOOKUP(C27,'TRIAL BALANCE'!$C$7:$J$71,7,FALSE)</f>
        <v>50000.0</v>
      </c>
      <c r="G27" s="295"/>
      <c r="H27" s="295"/>
    </row>
    <row r="28" spans="8:8">
      <c r="C28" s="290" t="s">
        <v>64</v>
      </c>
      <c r="D28" s="294"/>
      <c r="F28" s="298">
        <f>VLOOKUP(C28,'TRIAL BALANCE'!$C$7:$J$71,7,FALSE)</f>
        <v>0.0</v>
      </c>
      <c r="G28" s="295"/>
      <c r="H28" s="295"/>
    </row>
    <row r="29" spans="8:8">
      <c r="B29" s="299" t="s">
        <v>185</v>
      </c>
      <c r="C29" s="296"/>
      <c r="D29" s="297"/>
      <c r="E29" s="301"/>
      <c r="G29" s="301"/>
      <c r="H29" s="303">
        <f>-SUM(F17:F28)</f>
        <v>-2.243925E7</v>
      </c>
    </row>
    <row r="30" spans="8:8">
      <c r="B30" s="299" t="s">
        <v>186</v>
      </c>
      <c r="C30" s="296"/>
      <c r="D30" s="297"/>
      <c r="E30" s="301"/>
      <c r="F30" s="301"/>
      <c r="G30" s="301"/>
      <c r="H30" s="301">
        <f>SUM(H15:H29)</f>
        <v>-31750.0</v>
      </c>
    </row>
    <row r="31" spans="8:8">
      <c r="B31" s="296" t="s">
        <v>187</v>
      </c>
      <c r="D31" s="294"/>
      <c r="E31" s="295"/>
      <c r="F31" s="295"/>
      <c r="G31" s="295"/>
      <c r="H31" s="295"/>
    </row>
    <row r="32" spans="8:8">
      <c r="C32" s="290" t="s">
        <v>65</v>
      </c>
      <c r="D32" s="294"/>
      <c r="E32" s="295">
        <f>VLOOKUP(C32,'TRIAL BALANCE'!$C$7:$J$71,8,FALSE)</f>
        <v>1000000.0</v>
      </c>
      <c r="F32" s="295"/>
      <c r="G32" s="295"/>
      <c r="H32" s="295"/>
    </row>
    <row r="33" spans="8:8">
      <c r="C33" s="290" t="s">
        <v>66</v>
      </c>
      <c r="D33" s="294"/>
      <c r="E33" s="298">
        <f>VLOOKUP(C33,'TRIAL BALANCE'!$C$7:$J$71,8,FALSE)</f>
        <v>1350000.0</v>
      </c>
      <c r="F33" s="295"/>
      <c r="G33" s="295"/>
      <c r="H33" s="295"/>
    </row>
    <row r="34" spans="8:8">
      <c r="B34" s="299" t="s">
        <v>188</v>
      </c>
      <c r="C34" s="300"/>
      <c r="D34" s="294"/>
      <c r="E34" s="295"/>
      <c r="F34" s="301">
        <f>SUM(E32:E33)</f>
        <v>2350000.0</v>
      </c>
      <c r="G34" s="301"/>
      <c r="H34" s="295"/>
    </row>
    <row r="35" spans="8:8">
      <c r="B35" s="296" t="s">
        <v>189</v>
      </c>
      <c r="D35" s="294"/>
      <c r="E35" s="295"/>
      <c r="F35" s="295"/>
      <c r="G35" s="295"/>
      <c r="H35" s="295"/>
    </row>
    <row r="36" spans="8:8">
      <c r="C36" s="290" t="s">
        <v>68</v>
      </c>
      <c r="D36" s="294"/>
      <c r="E36" s="295">
        <f>VLOOKUP(C36,'TRIAL BALANCE'!$C$7:$J$71,7,FALSE)</f>
        <v>150000.0</v>
      </c>
      <c r="F36" s="295"/>
      <c r="G36" s="295"/>
      <c r="H36" s="295"/>
    </row>
    <row r="37" spans="8:8">
      <c r="C37" s="290" t="s">
        <v>190</v>
      </c>
      <c r="D37" s="294"/>
      <c r="E37" s="295">
        <f>VLOOKUP(C37,'TRIAL BALANCE'!$C$7:$J$71,7,FALSE)</f>
        <v>750000.0</v>
      </c>
      <c r="F37" s="295"/>
      <c r="G37" s="295"/>
      <c r="H37" s="295"/>
    </row>
    <row r="38" spans="8:8">
      <c r="B38" s="296" t="s">
        <v>191</v>
      </c>
      <c r="D38" s="294"/>
      <c r="E38" s="295"/>
      <c r="F38" s="303">
        <f>-SUM(E36:E37)</f>
        <v>-900000.0</v>
      </c>
      <c r="G38" s="301"/>
      <c r="H38" s="295"/>
    </row>
    <row r="39" spans="8:8">
      <c r="B39" s="299" t="s">
        <v>192</v>
      </c>
      <c r="C39" s="299"/>
      <c r="D39" s="297"/>
      <c r="E39" s="301"/>
      <c r="F39" s="301"/>
      <c r="G39" s="295"/>
      <c r="H39" s="303">
        <f>SUM(F34:F38)</f>
        <v>1450000.0</v>
      </c>
    </row>
    <row r="40" spans="8:8">
      <c r="B40" s="304" t="s">
        <v>193</v>
      </c>
      <c r="C40" s="304"/>
      <c r="D40" s="297"/>
      <c r="E40" s="301"/>
      <c r="F40" s="301"/>
      <c r="G40" s="301"/>
      <c r="H40" s="305">
        <f>SUM(H30:H39)</f>
        <v>1418250.0</v>
      </c>
    </row>
  </sheetData>
  <mergeCells count="4">
    <mergeCell ref="B2:H2"/>
    <mergeCell ref="B3:H3"/>
    <mergeCell ref="B4:H4"/>
    <mergeCell ref="B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Company>Grizli777</Company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ASUS</dc:creator>
  <cp:lastModifiedBy>User</cp:lastModifiedBy>
  <dcterms:created xsi:type="dcterms:W3CDTF">2021-01-05T11:08:09Z</dcterms:created>
  <dcterms:modified xsi:type="dcterms:W3CDTF">2021-02-03T03:03:24Z</dcterms:modified>
</cp:coreProperties>
</file>