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xr:revisionPtr revIDLastSave="0" documentId="13_ncr:1000001_{760629C3-6012-B043-A735-5593A6E0A066}" xr6:coauthVersionLast="45" xr6:coauthVersionMax="45" xr10:uidLastSave="{00000000-0000-0000-0000-000000000000}"/>
  <bookViews>
    <workbookView xWindow="240" yWindow="75" windowWidth="20115" windowHeight="7995" firstSheet="1" xr2:uid="{00000000-000D-0000-FFFF-FFFF00000000}"/>
  </bookViews>
  <sheets>
    <sheet name="Master Akun" sheetId="1" r:id="rId1"/>
    <sheet name="JU" sheetId="2" r:id="rId2"/>
    <sheet name="BB" sheetId="3" r:id="rId3"/>
    <sheet name="BB Pembantu Piutang" sheetId="4" r:id="rId4"/>
    <sheet name="BB Pembantu Hutang" sheetId="5" r:id="rId5"/>
    <sheet name="BB Pembantu Persediaan" sheetId="6" r:id="rId6"/>
    <sheet name="NS" sheetId="7" r:id="rId7"/>
    <sheet name="LR" sheetId="8" r:id="rId8"/>
    <sheet name="Laporan Perubahan Laba Ditahan" sheetId="9" r:id="rId9"/>
    <sheet name="Neraca" sheetId="10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8" l="1"/>
  <c r="B34" i="8"/>
  <c r="B32" i="8"/>
  <c r="B24" i="8"/>
  <c r="B25" i="8"/>
  <c r="B26" i="8"/>
  <c r="B28" i="8"/>
  <c r="B29" i="8"/>
  <c r="B30" i="8"/>
  <c r="B6" i="8"/>
  <c r="B7" i="8"/>
  <c r="B8" i="8"/>
  <c r="B11" i="8"/>
  <c r="B12" i="8"/>
  <c r="B14" i="8"/>
  <c r="B15" i="8"/>
  <c r="B16" i="8"/>
  <c r="B17" i="8"/>
  <c r="B18" i="8"/>
  <c r="B19" i="8"/>
  <c r="B20" i="8"/>
  <c r="B21" i="8"/>
  <c r="B22" i="8"/>
  <c r="B23" i="8"/>
  <c r="B5" i="8"/>
  <c r="E6" i="10"/>
  <c r="E7" i="10"/>
  <c r="E8" i="10"/>
  <c r="E9" i="10"/>
  <c r="E10" i="10"/>
  <c r="E11" i="10"/>
  <c r="E12" i="10"/>
  <c r="E15" i="10"/>
  <c r="E16" i="10"/>
  <c r="E20" i="10"/>
  <c r="E21" i="10"/>
  <c r="E22" i="10"/>
  <c r="E23" i="10"/>
  <c r="E24" i="10"/>
  <c r="E5" i="10"/>
  <c r="E4" i="10"/>
  <c r="B7" i="10"/>
  <c r="B21" i="10"/>
  <c r="B22" i="10"/>
  <c r="B23" i="10"/>
  <c r="B24" i="10"/>
  <c r="B20" i="10"/>
  <c r="B13" i="10"/>
  <c r="B14" i="10"/>
  <c r="B15" i="10"/>
  <c r="B16" i="10"/>
  <c r="B17" i="10"/>
  <c r="B18" i="10"/>
  <c r="B5" i="10"/>
  <c r="B6" i="10"/>
  <c r="B8" i="10"/>
  <c r="B9" i="10"/>
  <c r="B10" i="10"/>
  <c r="B11" i="10"/>
  <c r="B12" i="10"/>
  <c r="B4" i="10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H46" i="3"/>
  <c r="H37" i="3"/>
  <c r="H28" i="3"/>
  <c r="H19" i="3"/>
  <c r="H10" i="3"/>
  <c r="H55" i="3"/>
  <c r="H406" i="3"/>
  <c r="H397" i="3"/>
  <c r="G406" i="3"/>
  <c r="G397" i="3"/>
  <c r="H388" i="3"/>
  <c r="G388" i="3"/>
  <c r="H379" i="3"/>
  <c r="G379" i="3"/>
  <c r="H370" i="3"/>
  <c r="G370" i="3"/>
  <c r="H361" i="3"/>
  <c r="G361" i="3"/>
  <c r="H352" i="3"/>
  <c r="G352" i="3"/>
  <c r="H343" i="3"/>
  <c r="G343" i="3"/>
  <c r="H334" i="3"/>
  <c r="G334" i="3"/>
  <c r="H325" i="3"/>
  <c r="G325" i="3"/>
  <c r="H316" i="3"/>
  <c r="G316" i="3"/>
  <c r="H307" i="3"/>
  <c r="G307" i="3"/>
  <c r="H298" i="3"/>
  <c r="G298" i="3"/>
  <c r="C402" i="3"/>
  <c r="C393" i="3"/>
  <c r="C384" i="3"/>
  <c r="C375" i="3"/>
  <c r="C366" i="3"/>
  <c r="C357" i="3"/>
  <c r="C348" i="3"/>
  <c r="C339" i="3"/>
  <c r="C330" i="3"/>
  <c r="C321" i="3"/>
  <c r="C312" i="3"/>
  <c r="C303" i="3"/>
  <c r="C294" i="3"/>
  <c r="H289" i="3"/>
  <c r="G289" i="3"/>
  <c r="H280" i="3"/>
  <c r="G280" i="3"/>
  <c r="H271" i="3"/>
  <c r="G271" i="3"/>
  <c r="H262" i="3"/>
  <c r="G262" i="3"/>
  <c r="H253" i="3"/>
  <c r="G253" i="3"/>
  <c r="H244" i="3"/>
  <c r="G244" i="3"/>
  <c r="H235" i="3"/>
  <c r="G235" i="3"/>
  <c r="H226" i="3"/>
  <c r="G226" i="3"/>
  <c r="H217" i="3"/>
  <c r="G217" i="3"/>
  <c r="H208" i="3"/>
  <c r="G208" i="3"/>
  <c r="K36" i="6"/>
  <c r="J36" i="6"/>
  <c r="L36" i="6"/>
  <c r="L37" i="6"/>
  <c r="P8" i="6"/>
  <c r="C77" i="6"/>
  <c r="O13" i="6"/>
  <c r="C68" i="6"/>
  <c r="O12" i="6"/>
  <c r="C59" i="6"/>
  <c r="O11" i="6"/>
  <c r="C50" i="6"/>
  <c r="O10" i="6"/>
  <c r="C41" i="6"/>
  <c r="O9" i="6"/>
  <c r="C32" i="6"/>
  <c r="O8" i="6"/>
  <c r="C23" i="6"/>
  <c r="O7" i="6"/>
  <c r="C14" i="6"/>
  <c r="O6" i="6"/>
  <c r="C5" i="6"/>
  <c r="O5" i="6"/>
  <c r="N67" i="2"/>
  <c r="N16" i="2"/>
  <c r="N17" i="2"/>
  <c r="K21" i="2"/>
  <c r="K22" i="2"/>
  <c r="K27" i="2"/>
  <c r="N44" i="2"/>
  <c r="N57" i="2"/>
  <c r="N58" i="2"/>
  <c r="N59" i="2"/>
  <c r="N65" i="2"/>
  <c r="N66" i="2"/>
  <c r="N71" i="2"/>
  <c r="N78" i="2"/>
  <c r="N79" i="2"/>
  <c r="N80" i="2"/>
  <c r="N100" i="2"/>
  <c r="N101" i="2"/>
  <c r="I82" i="6"/>
  <c r="I73" i="6"/>
  <c r="G82" i="6"/>
  <c r="G73" i="6"/>
  <c r="F82" i="6"/>
  <c r="K81" i="6"/>
  <c r="J81" i="6"/>
  <c r="L81" i="6"/>
  <c r="F73" i="6"/>
  <c r="D82" i="6"/>
  <c r="D73" i="6"/>
  <c r="I64" i="6"/>
  <c r="G64" i="6"/>
  <c r="F64" i="6"/>
  <c r="D64" i="6"/>
  <c r="I55" i="6"/>
  <c r="G55" i="6"/>
  <c r="F55" i="6"/>
  <c r="K54" i="6"/>
  <c r="J54" i="6"/>
  <c r="L54" i="6"/>
  <c r="D55" i="6"/>
  <c r="I46" i="6"/>
  <c r="G46" i="6"/>
  <c r="F46" i="6"/>
  <c r="K45" i="6"/>
  <c r="J45" i="6"/>
  <c r="L45" i="6"/>
  <c r="D46" i="6"/>
  <c r="I37" i="6"/>
  <c r="G37" i="6"/>
  <c r="F37" i="6"/>
  <c r="D37" i="6"/>
  <c r="K37" i="6"/>
  <c r="I28" i="6"/>
  <c r="G28" i="6"/>
  <c r="F28" i="6"/>
  <c r="D28" i="6"/>
  <c r="I19" i="6"/>
  <c r="G19" i="6"/>
  <c r="F19" i="6"/>
  <c r="K18" i="6"/>
  <c r="J18" i="6"/>
  <c r="L18" i="6"/>
  <c r="D19" i="6"/>
  <c r="I10" i="6"/>
  <c r="G10" i="6"/>
  <c r="F10" i="6"/>
  <c r="D10" i="6"/>
  <c r="C24" i="5"/>
  <c r="K8" i="5"/>
  <c r="C15" i="5"/>
  <c r="K7" i="5"/>
  <c r="C6" i="5"/>
  <c r="K6" i="5"/>
  <c r="G16" i="2"/>
  <c r="G17" i="2"/>
  <c r="F15" i="2"/>
  <c r="G20" i="2"/>
  <c r="F21" i="2"/>
  <c r="F22" i="2"/>
  <c r="F23" i="2"/>
  <c r="G28" i="2"/>
  <c r="F26" i="2"/>
  <c r="G57" i="2"/>
  <c r="G58" i="2"/>
  <c r="G59" i="2"/>
  <c r="F56" i="2"/>
  <c r="G65" i="2"/>
  <c r="G66" i="2"/>
  <c r="G67" i="2"/>
  <c r="F64" i="2"/>
  <c r="F73" i="2"/>
  <c r="G78" i="2"/>
  <c r="G79" i="2"/>
  <c r="G80" i="2"/>
  <c r="F77" i="2"/>
  <c r="G100" i="2"/>
  <c r="G101" i="2"/>
  <c r="F99" i="2"/>
  <c r="G25" i="2"/>
  <c r="G33" i="2"/>
  <c r="G36" i="2"/>
  <c r="G70" i="2"/>
  <c r="G90" i="2"/>
  <c r="F29" i="5"/>
  <c r="F20" i="5"/>
  <c r="E29" i="5"/>
  <c r="E20" i="5"/>
  <c r="F11" i="5"/>
  <c r="E11" i="5"/>
  <c r="C42" i="4"/>
  <c r="K11" i="4"/>
  <c r="C33" i="4"/>
  <c r="K10" i="4"/>
  <c r="C24" i="4"/>
  <c r="K9" i="4"/>
  <c r="C15" i="4"/>
  <c r="K8" i="4"/>
  <c r="C6" i="4"/>
  <c r="K7" i="4"/>
  <c r="H199" i="3"/>
  <c r="G199" i="3"/>
  <c r="C285" i="3"/>
  <c r="C276" i="3"/>
  <c r="C267" i="3"/>
  <c r="C258" i="3"/>
  <c r="C249" i="3"/>
  <c r="C240" i="3"/>
  <c r="C231" i="3"/>
  <c r="C222" i="3"/>
  <c r="C213" i="3"/>
  <c r="C204" i="3"/>
  <c r="C195" i="3"/>
  <c r="H190" i="3"/>
  <c r="G190" i="3"/>
  <c r="H181" i="3"/>
  <c r="G181" i="3"/>
  <c r="H172" i="3"/>
  <c r="G172" i="3"/>
  <c r="H163" i="3"/>
  <c r="G163" i="3"/>
  <c r="H154" i="3"/>
  <c r="G154" i="3"/>
  <c r="H145" i="3"/>
  <c r="G145" i="3"/>
  <c r="H136" i="3"/>
  <c r="G136" i="3"/>
  <c r="H127" i="3"/>
  <c r="G127" i="3"/>
  <c r="H118" i="3"/>
  <c r="G118" i="3"/>
  <c r="H109" i="3"/>
  <c r="G109" i="3"/>
  <c r="H100" i="3"/>
  <c r="G100" i="3"/>
  <c r="K63" i="6"/>
  <c r="J63" i="6"/>
  <c r="L63" i="6"/>
  <c r="K72" i="6"/>
  <c r="J72" i="6"/>
  <c r="L72" i="6"/>
  <c r="K27" i="6"/>
  <c r="J27" i="6"/>
  <c r="L27" i="6"/>
  <c r="K9" i="6"/>
  <c r="J9" i="6"/>
  <c r="L9" i="6"/>
  <c r="H28" i="5"/>
  <c r="H19" i="5"/>
  <c r="H10" i="5"/>
  <c r="G46" i="4"/>
  <c r="G37" i="4"/>
  <c r="G28" i="4"/>
  <c r="G19" i="4"/>
  <c r="G10" i="4"/>
  <c r="C186" i="3"/>
  <c r="C177" i="3"/>
  <c r="C168" i="3"/>
  <c r="C159" i="3"/>
  <c r="C150" i="3"/>
  <c r="C141" i="3"/>
  <c r="C132" i="3"/>
  <c r="C123" i="3"/>
  <c r="C114" i="3"/>
  <c r="C105" i="3"/>
  <c r="C96" i="3"/>
  <c r="H91" i="3"/>
  <c r="G91" i="3"/>
  <c r="H82" i="3"/>
  <c r="G82" i="3"/>
  <c r="H73" i="3"/>
  <c r="G73" i="3"/>
  <c r="H64" i="3"/>
  <c r="G64" i="3"/>
  <c r="C51" i="3"/>
  <c r="G55" i="3"/>
  <c r="G46" i="3"/>
  <c r="G37" i="3"/>
  <c r="G28" i="3"/>
  <c r="G19" i="3"/>
  <c r="G10" i="3"/>
  <c r="C87" i="3"/>
  <c r="C78" i="3"/>
  <c r="C69" i="3"/>
  <c r="C60" i="3"/>
  <c r="C42" i="3"/>
  <c r="C33" i="3"/>
  <c r="C24" i="3"/>
  <c r="C15" i="3"/>
  <c r="C6" i="3"/>
  <c r="G118" i="2"/>
  <c r="D117" i="2"/>
  <c r="D116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02" i="2"/>
  <c r="D99" i="2"/>
  <c r="D100" i="2"/>
  <c r="D101" i="2"/>
  <c r="D98" i="2"/>
  <c r="D96" i="2"/>
  <c r="D97" i="2"/>
  <c r="D92" i="2"/>
  <c r="D93" i="2"/>
  <c r="D94" i="2"/>
  <c r="D95" i="2"/>
  <c r="D91" i="2"/>
  <c r="D90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73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F118" i="2"/>
  <c r="D58" i="2"/>
  <c r="D57" i="2"/>
  <c r="D47" i="2"/>
  <c r="D44" i="2"/>
  <c r="D45" i="2"/>
  <c r="D46" i="2"/>
  <c r="D48" i="2"/>
  <c r="D49" i="2"/>
  <c r="D50" i="2"/>
  <c r="D51" i="2"/>
  <c r="D52" i="2"/>
  <c r="D53" i="2"/>
  <c r="D54" i="2"/>
  <c r="D55" i="2"/>
  <c r="D56" i="2"/>
  <c r="D43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15" i="2"/>
  <c r="D7" i="2"/>
  <c r="D8" i="2"/>
  <c r="D11" i="2"/>
  <c r="D9" i="2"/>
  <c r="D10" i="2"/>
  <c r="D12" i="2"/>
  <c r="D13" i="2"/>
  <c r="D14" i="2"/>
  <c r="D106" i="1"/>
  <c r="D98" i="1"/>
  <c r="F88" i="1"/>
  <c r="H88" i="1"/>
  <c r="F47" i="4"/>
  <c r="F29" i="4"/>
  <c r="F20" i="4"/>
  <c r="F38" i="4"/>
  <c r="F11" i="4"/>
  <c r="E20" i="4"/>
  <c r="E47" i="4"/>
  <c r="E38" i="4"/>
  <c r="E29" i="4"/>
  <c r="E11" i="4"/>
  <c r="G66" i="7"/>
  <c r="E46" i="6"/>
  <c r="J73" i="6"/>
  <c r="J10" i="6"/>
  <c r="L46" i="6"/>
  <c r="P9" i="6"/>
  <c r="J64" i="6"/>
  <c r="E73" i="6"/>
  <c r="H73" i="6"/>
  <c r="F46" i="7"/>
  <c r="E254" i="3"/>
  <c r="F32" i="7"/>
  <c r="E65" i="3"/>
  <c r="F398" i="3"/>
  <c r="G47" i="4"/>
  <c r="L11" i="4"/>
  <c r="G54" i="7"/>
  <c r="G65" i="7"/>
  <c r="G23" i="7"/>
  <c r="F67" i="7"/>
  <c r="E28" i="6"/>
  <c r="F36" i="7"/>
  <c r="F263" i="3"/>
  <c r="F54" i="7"/>
  <c r="G29" i="4"/>
  <c r="L9" i="4"/>
  <c r="F17" i="7"/>
  <c r="E10" i="6"/>
  <c r="G30" i="7"/>
  <c r="F200" i="3"/>
  <c r="F137" i="3"/>
  <c r="F18" i="7"/>
  <c r="E236" i="3"/>
  <c r="F52" i="7"/>
  <c r="F26" i="7"/>
  <c r="F41" i="7"/>
  <c r="F83" i="3"/>
  <c r="G47" i="7"/>
  <c r="F236" i="3"/>
  <c r="F50" i="7"/>
  <c r="F58" i="7"/>
  <c r="G36" i="7"/>
  <c r="G64" i="7"/>
  <c r="F47" i="3"/>
  <c r="G57" i="7"/>
  <c r="F14" i="7"/>
  <c r="G42" i="7"/>
  <c r="E83" i="3"/>
  <c r="F173" i="3"/>
  <c r="F29" i="7"/>
  <c r="G38" i="7"/>
  <c r="E281" i="3"/>
  <c r="F317" i="3"/>
  <c r="E299" i="3"/>
  <c r="G9" i="7"/>
  <c r="G58" i="7"/>
  <c r="F59" i="7"/>
  <c r="H11" i="5"/>
  <c r="L6" i="5"/>
  <c r="H29" i="5"/>
  <c r="L8" i="5"/>
  <c r="L10" i="6"/>
  <c r="J19" i="6"/>
  <c r="H28" i="6"/>
  <c r="H37" i="6"/>
  <c r="H64" i="6"/>
  <c r="J82" i="6"/>
  <c r="G11" i="4"/>
  <c r="L7" i="4"/>
  <c r="E155" i="3"/>
  <c r="F15" i="7"/>
  <c r="F9" i="7"/>
  <c r="E371" i="3"/>
  <c r="F49" i="7"/>
  <c r="F70" i="7"/>
  <c r="G67" i="7"/>
  <c r="E110" i="3"/>
  <c r="G28" i="7"/>
  <c r="F209" i="3"/>
  <c r="F362" i="3"/>
  <c r="F389" i="3"/>
  <c r="E335" i="3"/>
  <c r="G39" i="7"/>
  <c r="F30" i="7"/>
  <c r="H30" i="7"/>
  <c r="G55" i="7"/>
  <c r="F68" i="7"/>
  <c r="G63" i="7"/>
  <c r="J46" i="6"/>
  <c r="E56" i="3"/>
  <c r="F119" i="3"/>
  <c r="F191" i="3"/>
  <c r="F128" i="3"/>
  <c r="E200" i="3"/>
  <c r="F11" i="3"/>
  <c r="F44" i="7"/>
  <c r="G46" i="7"/>
  <c r="F45" i="7"/>
  <c r="F22" i="7"/>
  <c r="F16" i="7"/>
  <c r="F28" i="7"/>
  <c r="G25" i="7"/>
  <c r="G15" i="7"/>
  <c r="G35" i="7"/>
  <c r="F35" i="7"/>
  <c r="G41" i="7"/>
  <c r="F227" i="3"/>
  <c r="E263" i="3"/>
  <c r="E407" i="3"/>
  <c r="F299" i="3"/>
  <c r="G7" i="7"/>
  <c r="F254" i="3"/>
  <c r="E326" i="3"/>
  <c r="E398" i="3"/>
  <c r="F33" i="7"/>
  <c r="G68" i="7"/>
  <c r="F69" i="7"/>
  <c r="G59" i="7"/>
  <c r="E47" i="3"/>
  <c r="E38" i="3"/>
  <c r="E101" i="3"/>
  <c r="E137" i="3"/>
  <c r="E182" i="3"/>
  <c r="E119" i="3"/>
  <c r="F155" i="3"/>
  <c r="E173" i="3"/>
  <c r="F20" i="3"/>
  <c r="F92" i="3"/>
  <c r="F74" i="3"/>
  <c r="F48" i="7"/>
  <c r="G44" i="7"/>
  <c r="G51" i="7"/>
  <c r="F47" i="7"/>
  <c r="G53" i="7"/>
  <c r="F27" i="7"/>
  <c r="G22" i="7"/>
  <c r="F20" i="7"/>
  <c r="G19" i="7"/>
  <c r="F21" i="7"/>
  <c r="G27" i="7"/>
  <c r="G18" i="7"/>
  <c r="F12" i="7"/>
  <c r="G14" i="7"/>
  <c r="G40" i="7"/>
  <c r="F38" i="7"/>
  <c r="G32" i="7"/>
  <c r="H32" i="7"/>
  <c r="F37" i="7"/>
  <c r="G43" i="7"/>
  <c r="G34" i="7"/>
  <c r="F218" i="3"/>
  <c r="E218" i="3"/>
  <c r="F245" i="3"/>
  <c r="F326" i="3"/>
  <c r="H326" i="3"/>
  <c r="F23" i="7"/>
  <c r="E290" i="3"/>
  <c r="F353" i="3"/>
  <c r="F7" i="7"/>
  <c r="G13" i="7"/>
  <c r="F57" i="7"/>
  <c r="F281" i="3"/>
  <c r="E317" i="3"/>
  <c r="H317" i="3"/>
  <c r="E353" i="3"/>
  <c r="E389" i="3"/>
  <c r="F8" i="7"/>
  <c r="G20" i="7"/>
  <c r="I20" i="7"/>
  <c r="F62" i="7"/>
  <c r="F60" i="7"/>
  <c r="F71" i="7"/>
  <c r="F63" i="7"/>
  <c r="G69" i="7"/>
  <c r="G61" i="7"/>
  <c r="E11" i="3"/>
  <c r="F56" i="3"/>
  <c r="E146" i="3"/>
  <c r="F164" i="3"/>
  <c r="F65" i="3"/>
  <c r="F53" i="7"/>
  <c r="G50" i="7"/>
  <c r="G17" i="7"/>
  <c r="H17" i="7"/>
  <c r="F19" i="7"/>
  <c r="G16" i="7"/>
  <c r="F40" i="7"/>
  <c r="F34" i="7"/>
  <c r="F43" i="7"/>
  <c r="G31" i="7"/>
  <c r="E227" i="3"/>
  <c r="F344" i="3"/>
  <c r="G48" i="7"/>
  <c r="F371" i="3"/>
  <c r="G33" i="7"/>
  <c r="F290" i="3"/>
  <c r="G290" i="3"/>
  <c r="E362" i="3"/>
  <c r="G11" i="7"/>
  <c r="F55" i="7"/>
  <c r="G70" i="7"/>
  <c r="F61" i="7"/>
  <c r="E19" i="6"/>
  <c r="E29" i="3"/>
  <c r="E20" i="3"/>
  <c r="E74" i="3"/>
  <c r="E128" i="3"/>
  <c r="E164" i="3"/>
  <c r="E191" i="3"/>
  <c r="F110" i="3"/>
  <c r="F146" i="3"/>
  <c r="F182" i="3"/>
  <c r="E92" i="3"/>
  <c r="F29" i="3"/>
  <c r="F38" i="3"/>
  <c r="F101" i="3"/>
  <c r="F56" i="7"/>
  <c r="G49" i="7"/>
  <c r="G56" i="7"/>
  <c r="F51" i="7"/>
  <c r="G45" i="7"/>
  <c r="G26" i="7"/>
  <c r="F25" i="7"/>
  <c r="G24" i="7"/>
  <c r="F24" i="7"/>
  <c r="G29" i="7"/>
  <c r="G21" i="7"/>
  <c r="G12" i="7"/>
  <c r="F13" i="7"/>
  <c r="F31" i="7"/>
  <c r="F42" i="7"/>
  <c r="G37" i="7"/>
  <c r="F39" i="7"/>
  <c r="E209" i="3"/>
  <c r="E245" i="3"/>
  <c r="F308" i="3"/>
  <c r="F380" i="3"/>
  <c r="G8" i="7"/>
  <c r="E272" i="3"/>
  <c r="F335" i="3"/>
  <c r="F407" i="3"/>
  <c r="G10" i="7"/>
  <c r="G52" i="7"/>
  <c r="F272" i="3"/>
  <c r="E308" i="3"/>
  <c r="E344" i="3"/>
  <c r="E380" i="3"/>
  <c r="F11" i="7"/>
  <c r="F10" i="7"/>
  <c r="F66" i="7"/>
  <c r="I66" i="7"/>
  <c r="G62" i="7"/>
  <c r="F64" i="7"/>
  <c r="G60" i="7"/>
  <c r="I60" i="7"/>
  <c r="F65" i="7"/>
  <c r="G71" i="7"/>
  <c r="H46" i="6"/>
  <c r="H20" i="5"/>
  <c r="L7" i="5"/>
  <c r="G38" i="4"/>
  <c r="L10" i="4"/>
  <c r="L28" i="6"/>
  <c r="P7" i="6"/>
  <c r="E37" i="6"/>
  <c r="J55" i="6"/>
  <c r="L64" i="6"/>
  <c r="P11" i="6"/>
  <c r="L82" i="6"/>
  <c r="P13" i="6"/>
  <c r="G20" i="4"/>
  <c r="L8" i="4"/>
  <c r="H10" i="6"/>
  <c r="L19" i="6"/>
  <c r="J28" i="6"/>
  <c r="J37" i="6"/>
  <c r="E55" i="6"/>
  <c r="L73" i="6"/>
  <c r="P12" i="6"/>
  <c r="E64" i="6"/>
  <c r="L55" i="6"/>
  <c r="H19" i="6"/>
  <c r="E82" i="6"/>
  <c r="H55" i="6"/>
  <c r="H82" i="6"/>
  <c r="H70" i="7"/>
  <c r="C33" i="8"/>
  <c r="I15" i="7"/>
  <c r="H21" i="7"/>
  <c r="C16" i="10"/>
  <c r="H58" i="7"/>
  <c r="C19" i="8"/>
  <c r="H61" i="7"/>
  <c r="C22" i="8"/>
  <c r="I25" i="7"/>
  <c r="H56" i="3"/>
  <c r="H54" i="7"/>
  <c r="C15" i="8"/>
  <c r="I49" i="7"/>
  <c r="K10" i="6"/>
  <c r="H51" i="7"/>
  <c r="I36" i="7"/>
  <c r="F9" i="10"/>
  <c r="I21" i="7"/>
  <c r="H63" i="7"/>
  <c r="C24" i="8"/>
  <c r="I38" i="7"/>
  <c r="F11" i="10"/>
  <c r="H18" i="7"/>
  <c r="C13" i="10"/>
  <c r="H155" i="3"/>
  <c r="H28" i="7"/>
  <c r="I24" i="7"/>
  <c r="G182" i="3"/>
  <c r="G164" i="3"/>
  <c r="H33" i="7"/>
  <c r="H227" i="3"/>
  <c r="H40" i="7"/>
  <c r="H236" i="3"/>
  <c r="G47" i="3"/>
  <c r="K64" i="6"/>
  <c r="I61" i="7"/>
  <c r="I27" i="7"/>
  <c r="C22" i="10"/>
  <c r="I22" i="7"/>
  <c r="K46" i="6"/>
  <c r="I46" i="7"/>
  <c r="F24" i="10"/>
  <c r="H389" i="3"/>
  <c r="G74" i="3"/>
  <c r="I26" i="7"/>
  <c r="I64" i="7"/>
  <c r="H272" i="3"/>
  <c r="H335" i="3"/>
  <c r="H29" i="3"/>
  <c r="H55" i="7"/>
  <c r="C16" i="8"/>
  <c r="G146" i="3"/>
  <c r="H47" i="3"/>
  <c r="I54" i="7"/>
  <c r="P5" i="6"/>
  <c r="H281" i="3"/>
  <c r="H68" i="7"/>
  <c r="H254" i="3"/>
  <c r="H263" i="3"/>
  <c r="H44" i="7"/>
  <c r="H191" i="3"/>
  <c r="I67" i="7"/>
  <c r="C29" i="8"/>
  <c r="H9" i="7"/>
  <c r="G236" i="3"/>
  <c r="L9" i="5"/>
  <c r="I14" i="7"/>
  <c r="H164" i="3"/>
  <c r="I68" i="7"/>
  <c r="C30" i="8"/>
  <c r="I17" i="7"/>
  <c r="C12" i="10"/>
  <c r="I30" i="7"/>
  <c r="C24" i="10"/>
  <c r="I65" i="7"/>
  <c r="G65" i="3"/>
  <c r="H23" i="7"/>
  <c r="C18" i="10"/>
  <c r="H398" i="3"/>
  <c r="G200" i="3"/>
  <c r="G308" i="3"/>
  <c r="H52" i="7"/>
  <c r="D12" i="8"/>
  <c r="H14" i="7"/>
  <c r="C10" i="10"/>
  <c r="G389" i="3"/>
  <c r="I71" i="7"/>
  <c r="G380" i="3"/>
  <c r="G272" i="3"/>
  <c r="G245" i="3"/>
  <c r="H42" i="7"/>
  <c r="I56" i="7"/>
  <c r="H38" i="3"/>
  <c r="H146" i="3"/>
  <c r="H128" i="3"/>
  <c r="I11" i="7"/>
  <c r="H371" i="3"/>
  <c r="I31" i="7"/>
  <c r="I16" i="7"/>
  <c r="I44" i="7"/>
  <c r="C5" i="9"/>
  <c r="I63" i="7"/>
  <c r="I70" i="7"/>
  <c r="I57" i="7"/>
  <c r="I9" i="7"/>
  <c r="G191" i="3"/>
  <c r="G263" i="3"/>
  <c r="G92" i="3"/>
  <c r="H20" i="7"/>
  <c r="C15" i="10"/>
  <c r="H47" i="7"/>
  <c r="G281" i="3"/>
  <c r="G344" i="3"/>
  <c r="I8" i="7"/>
  <c r="H26" i="7"/>
  <c r="C21" i="10"/>
  <c r="H110" i="3"/>
  <c r="H43" i="7"/>
  <c r="G254" i="3"/>
  <c r="I69" i="7"/>
  <c r="G353" i="3"/>
  <c r="I13" i="7"/>
  <c r="H218" i="3"/>
  <c r="I19" i="7"/>
  <c r="I53" i="7"/>
  <c r="G137" i="3"/>
  <c r="H299" i="3"/>
  <c r="I41" i="7"/>
  <c r="F16" i="10"/>
  <c r="F17" i="10"/>
  <c r="H45" i="7"/>
  <c r="I28" i="7"/>
  <c r="G317" i="3"/>
  <c r="K19" i="6"/>
  <c r="I18" i="7"/>
  <c r="H11" i="7"/>
  <c r="C8" i="10"/>
  <c r="H245" i="3"/>
  <c r="G128" i="3"/>
  <c r="F72" i="7"/>
  <c r="H173" i="3"/>
  <c r="I59" i="7"/>
  <c r="H46" i="7"/>
  <c r="P6" i="6"/>
  <c r="G155" i="3"/>
  <c r="I55" i="7"/>
  <c r="I40" i="7"/>
  <c r="H36" i="7"/>
  <c r="I10" i="7"/>
  <c r="G209" i="3"/>
  <c r="H31" i="7"/>
  <c r="I29" i="7"/>
  <c r="G362" i="3"/>
  <c r="I48" i="7"/>
  <c r="D6" i="8"/>
  <c r="H19" i="7"/>
  <c r="C14" i="10"/>
  <c r="I35" i="7"/>
  <c r="F8" i="10"/>
  <c r="I58" i="7"/>
  <c r="G83" i="3"/>
  <c r="I62" i="7"/>
  <c r="G56" i="3"/>
  <c r="H12" i="7"/>
  <c r="H38" i="7"/>
  <c r="K82" i="6"/>
  <c r="K28" i="6"/>
  <c r="I52" i="7"/>
  <c r="H64" i="7"/>
  <c r="C25" i="8"/>
  <c r="H407" i="3"/>
  <c r="H39" i="7"/>
  <c r="H67" i="7"/>
  <c r="H57" i="7"/>
  <c r="C18" i="8"/>
  <c r="H290" i="3"/>
  <c r="H37" i="7"/>
  <c r="H27" i="7"/>
  <c r="H20" i="3"/>
  <c r="I7" i="7"/>
  <c r="H15" i="7"/>
  <c r="H22" i="7"/>
  <c r="C17" i="10"/>
  <c r="H119" i="3"/>
  <c r="I34" i="7"/>
  <c r="F7" i="10"/>
  <c r="H34" i="7"/>
  <c r="H25" i="7"/>
  <c r="H53" i="7"/>
  <c r="H41" i="7"/>
  <c r="H209" i="3"/>
  <c r="I23" i="7"/>
  <c r="H49" i="7"/>
  <c r="C7" i="8"/>
  <c r="I45" i="7"/>
  <c r="G72" i="7"/>
  <c r="H71" i="7"/>
  <c r="C34" i="8"/>
  <c r="D35" i="8"/>
  <c r="G371" i="3"/>
  <c r="H62" i="7"/>
  <c r="C23" i="8"/>
  <c r="G173" i="3"/>
  <c r="G38" i="3"/>
  <c r="H362" i="3"/>
  <c r="H7" i="7"/>
  <c r="I43" i="7"/>
  <c r="F21" i="10"/>
  <c r="G20" i="3"/>
  <c r="G398" i="3"/>
  <c r="I32" i="7"/>
  <c r="H137" i="3"/>
  <c r="H353" i="3"/>
  <c r="L12" i="4"/>
  <c r="N12" i="4"/>
  <c r="I42" i="7"/>
  <c r="H60" i="7"/>
  <c r="C21" i="8"/>
  <c r="H10" i="7"/>
  <c r="C7" i="10"/>
  <c r="H380" i="3"/>
  <c r="H13" i="7"/>
  <c r="C9" i="10"/>
  <c r="H24" i="7"/>
  <c r="H56" i="7"/>
  <c r="C17" i="8"/>
  <c r="H344" i="3"/>
  <c r="G101" i="3"/>
  <c r="H69" i="7"/>
  <c r="G326" i="3"/>
  <c r="G407" i="3"/>
  <c r="H35" i="7"/>
  <c r="H59" i="7"/>
  <c r="C20" i="8"/>
  <c r="I39" i="7"/>
  <c r="F12" i="10"/>
  <c r="I47" i="7"/>
  <c r="H200" i="3"/>
  <c r="H11" i="3"/>
  <c r="G11" i="3"/>
  <c r="I50" i="7"/>
  <c r="H50" i="7"/>
  <c r="C8" i="8"/>
  <c r="H48" i="7"/>
  <c r="H65" i="7"/>
  <c r="C26" i="8"/>
  <c r="H66" i="7"/>
  <c r="G299" i="3"/>
  <c r="H29" i="7"/>
  <c r="C23" i="10"/>
  <c r="G218" i="3"/>
  <c r="H308" i="3"/>
  <c r="I37" i="7"/>
  <c r="F10" i="10"/>
  <c r="I12" i="7"/>
  <c r="H182" i="3"/>
  <c r="G29" i="3"/>
  <c r="I33" i="7"/>
  <c r="F6" i="10"/>
  <c r="G227" i="3"/>
  <c r="H8" i="7"/>
  <c r="I51" i="7"/>
  <c r="G119" i="3"/>
  <c r="H16" i="7"/>
  <c r="C11" i="10"/>
  <c r="G110" i="3"/>
  <c r="G335" i="3"/>
  <c r="K73" i="6"/>
  <c r="P10" i="6"/>
  <c r="K55" i="6"/>
  <c r="D31" i="8"/>
  <c r="D36" i="8"/>
  <c r="C25" i="10"/>
  <c r="P14" i="6"/>
  <c r="H72" i="7"/>
  <c r="D9" i="8"/>
  <c r="D10" i="8"/>
  <c r="D13" i="8"/>
  <c r="F13" i="10"/>
  <c r="F18" i="10"/>
  <c r="D27" i="8"/>
  <c r="I72" i="7"/>
  <c r="C19" i="10"/>
  <c r="C26" i="10"/>
  <c r="D37" i="8"/>
  <c r="B6" i="9"/>
  <c r="C8" i="9"/>
  <c r="C9" i="9"/>
  <c r="F23" i="10"/>
  <c r="F25" i="10"/>
  <c r="F26" i="10"/>
</calcChain>
</file>

<file path=xl/sharedStrings.xml><?xml version="1.0" encoding="utf-8"?>
<sst xmlns="http://schemas.openxmlformats.org/spreadsheetml/2006/main" count="1261" uniqueCount="231">
  <si>
    <t>Perkiraan</t>
  </si>
  <si>
    <t>Reff</t>
  </si>
  <si>
    <t>Debet</t>
  </si>
  <si>
    <t>Kredit</t>
  </si>
  <si>
    <t>AKTIVA</t>
  </si>
  <si>
    <t>AKTIVA LANCAR</t>
  </si>
  <si>
    <t>KAS</t>
  </si>
  <si>
    <t>Kas Di tangan</t>
  </si>
  <si>
    <t>Kas Kecil</t>
  </si>
  <si>
    <t>BANK</t>
  </si>
  <si>
    <t>Bank BCA</t>
  </si>
  <si>
    <t>Bank Mandiri</t>
  </si>
  <si>
    <t>PIUTANG USAHA BERSIH</t>
  </si>
  <si>
    <t xml:space="preserve">Piutang Usaha </t>
  </si>
  <si>
    <t>Cadangan Piutang Tak Tertagih</t>
  </si>
  <si>
    <t>PIUTANG LAIN-LAIN</t>
  </si>
  <si>
    <t>Piutang Karyawan</t>
  </si>
  <si>
    <t>PERSEDIAAN BARANG DAGANGAN</t>
  </si>
  <si>
    <t>PEMBAYARAN DIMUKA</t>
  </si>
  <si>
    <t>PPN Masukan</t>
  </si>
  <si>
    <t>Uang Muka Pembelian</t>
  </si>
  <si>
    <t>AKTIVA TETAP</t>
  </si>
  <si>
    <t>NILAI BUKU PERALATAN KANTOR</t>
  </si>
  <si>
    <t>Peralatan Kantor</t>
  </si>
  <si>
    <t>Akumulasi Penyusutan Peralatan Kantor</t>
  </si>
  <si>
    <t>NILAI BUKU KENDARAAN</t>
  </si>
  <si>
    <t>Kendaraan</t>
  </si>
  <si>
    <t>Akumulasi Penyusutan Kendaraan</t>
  </si>
  <si>
    <t>KEWAJIBAN</t>
  </si>
  <si>
    <t>KEWAJIBAN LANCAR</t>
  </si>
  <si>
    <t>Hutang Usaha</t>
  </si>
  <si>
    <t>Pendapatan Diterima Dimuka- Jasa Kirim</t>
  </si>
  <si>
    <t>Hutang Bunga</t>
  </si>
  <si>
    <t>Hutang Pajak</t>
  </si>
  <si>
    <t>Utang PPh Pasal 21</t>
  </si>
  <si>
    <t>Utang PPh Pasal 4</t>
  </si>
  <si>
    <t>PPn Keluaran</t>
  </si>
  <si>
    <t>KEWAJIBAN JANGKA PANJANG</t>
  </si>
  <si>
    <t>Hutang Bank Mandiri</t>
  </si>
  <si>
    <t>EKUITAS</t>
  </si>
  <si>
    <t>Modal Saham</t>
  </si>
  <si>
    <t>Laba Ditahan Periode Lalu</t>
  </si>
  <si>
    <t>Laba Ditahan Periode Berjalan</t>
  </si>
  <si>
    <t>Perkiraan Penyeimbang</t>
  </si>
  <si>
    <t>PENJUALAN</t>
  </si>
  <si>
    <t>Penjualan</t>
  </si>
  <si>
    <t>Retur Penjualan</t>
  </si>
  <si>
    <t>Potongan Penjualan</t>
  </si>
  <si>
    <t>HARGA POKOK PENJUALAN</t>
  </si>
  <si>
    <t>Harga Pokok Penjualan</t>
  </si>
  <si>
    <t>BEBAN USAHA</t>
  </si>
  <si>
    <t>Beban Gaji Karyawan</t>
  </si>
  <si>
    <t>Beban Sewa</t>
  </si>
  <si>
    <t>Beban Piutang Tak Tertagih</t>
  </si>
  <si>
    <t>Beban Listrik</t>
  </si>
  <si>
    <t>Beban Telepon</t>
  </si>
  <si>
    <t>Beban Penyusutan Peralatan Kantor</t>
  </si>
  <si>
    <t>Beban Penyusutan Kendaraan</t>
  </si>
  <si>
    <t>Beban Pemasaran</t>
  </si>
  <si>
    <t>Beban Transportasi</t>
  </si>
  <si>
    <t>Beban Perawatan AC</t>
  </si>
  <si>
    <t>Beban Perlengkapan kantor</t>
  </si>
  <si>
    <t>Beban Umum Lain-lain</t>
  </si>
  <si>
    <t>PENDAPATAN LUAR USAHA</t>
  </si>
  <si>
    <t>Laba Penjualan Aktiva Tetap</t>
  </si>
  <si>
    <t>Pendapatan Jasa Giro</t>
  </si>
  <si>
    <t>BEBAN LUAR USAHA</t>
  </si>
  <si>
    <t>Beban Administrasi Bank</t>
  </si>
  <si>
    <t>Beban Bunga</t>
  </si>
  <si>
    <t>TOTAL</t>
  </si>
  <si>
    <t>PT. FADALI FURNITURE</t>
  </si>
  <si>
    <t>NERACA SALDO</t>
  </si>
  <si>
    <t>PT. FADALI FURNITUR</t>
  </si>
  <si>
    <t>Kode Produk</t>
  </si>
  <si>
    <t>Nama Produk</t>
  </si>
  <si>
    <t>Satuan</t>
  </si>
  <si>
    <t>Harga Beli</t>
  </si>
  <si>
    <t>Harga Jual</t>
  </si>
  <si>
    <t>Kuantitas</t>
  </si>
  <si>
    <t>Harga Pokok</t>
  </si>
  <si>
    <t>Jumlah</t>
  </si>
  <si>
    <t>P01</t>
  </si>
  <si>
    <t>QUEEN C405</t>
  </si>
  <si>
    <t>P02</t>
  </si>
  <si>
    <t>QUEEN C605</t>
  </si>
  <si>
    <t>P03</t>
  </si>
  <si>
    <t>STONES C109</t>
  </si>
  <si>
    <t>P04</t>
  </si>
  <si>
    <t>STONES C303</t>
  </si>
  <si>
    <t>P05</t>
  </si>
  <si>
    <t>EBIET D708</t>
  </si>
  <si>
    <t>P06</t>
  </si>
  <si>
    <t>EBIET D908</t>
  </si>
  <si>
    <t>P07</t>
  </si>
  <si>
    <t>TAMERLAND L1</t>
  </si>
  <si>
    <t>P08</t>
  </si>
  <si>
    <t>TAMERLAND L2</t>
  </si>
  <si>
    <t>P09</t>
  </si>
  <si>
    <t>TAMERLAND L3</t>
  </si>
  <si>
    <t>buah</t>
  </si>
  <si>
    <t>KELOMPOK KURSI</t>
  </si>
  <si>
    <t>KELOMPOK MEJA KERJA</t>
  </si>
  <si>
    <t>KELOMPOK LEMARI ARSIP</t>
  </si>
  <si>
    <t>PT. FADALI  FURNITURE</t>
  </si>
  <si>
    <t>DAFTAR SALDO PIUTANG</t>
  </si>
  <si>
    <t>KODE PELANGGAN</t>
  </si>
  <si>
    <t>NAMA PELANGGAN (DEBITUR)</t>
  </si>
  <si>
    <t>ALAMAT</t>
  </si>
  <si>
    <t>JUMLAH PIUTANG</t>
  </si>
  <si>
    <t>KETERANGAN</t>
  </si>
  <si>
    <t>C01</t>
  </si>
  <si>
    <t>PT. GUNUNG AGUNG</t>
  </si>
  <si>
    <t>Jalan Raya Kwitang No 36 Jakarta Pusat</t>
  </si>
  <si>
    <t>Tanggal 1 Januari 2016, Termin 2/10, n/30</t>
  </si>
  <si>
    <t>C02</t>
  </si>
  <si>
    <t>TOKO BUKU UTAMA</t>
  </si>
  <si>
    <t>Jalan Warung Buncit No 72 Jakarta Selatan</t>
  </si>
  <si>
    <t>C03</t>
  </si>
  <si>
    <t>CV MEBEL ABADI</t>
  </si>
  <si>
    <t>Jalan Raya Cileduk No 21D Tanggerang</t>
  </si>
  <si>
    <t>Tanggal 1 Januari 2016, Termin 3/10, n/30</t>
  </si>
  <si>
    <t>C04</t>
  </si>
  <si>
    <t>CV SEMBILAN SEMBILAN</t>
  </si>
  <si>
    <t>Jalan Fatmawati No 20 Jakarta Selatan</t>
  </si>
  <si>
    <t>C05</t>
  </si>
  <si>
    <t>PENJUALAN COUNTER</t>
  </si>
  <si>
    <t>Jakarta</t>
  </si>
  <si>
    <t>DATA PRODUK &amp; SALDO AWAL PERSEDIAAN</t>
  </si>
  <si>
    <t>DAFTAR SALDO HUTANG</t>
  </si>
  <si>
    <t>KODE PEMASOK</t>
  </si>
  <si>
    <t>NAMA PEMASOK (KREDITUR)</t>
  </si>
  <si>
    <t>S01</t>
  </si>
  <si>
    <t>CV USAHA MAJU</t>
  </si>
  <si>
    <t>Jalan Soekarno Hatta Bandung</t>
  </si>
  <si>
    <t>Tanggal 1 Januari 2016, Termin 5/10, n/50</t>
  </si>
  <si>
    <t>S02</t>
  </si>
  <si>
    <t>PT KARYA BERSAMA</t>
  </si>
  <si>
    <t>Jalan Sawo Bogor</t>
  </si>
  <si>
    <t>S03</t>
  </si>
  <si>
    <t>UD BERSAUDARA</t>
  </si>
  <si>
    <t>Jalan Sukamiskin Bogor</t>
  </si>
  <si>
    <t>No. Akun</t>
  </si>
  <si>
    <t>Tanggal</t>
  </si>
  <si>
    <t>No. Bukti</t>
  </si>
  <si>
    <t>Keterangan</t>
  </si>
  <si>
    <t>Ref</t>
  </si>
  <si>
    <t>Kode Persediaan</t>
  </si>
  <si>
    <t>Penerimaan</t>
  </si>
  <si>
    <t>Pengeluaran</t>
  </si>
  <si>
    <t>Quantity</t>
  </si>
  <si>
    <t>Harga</t>
  </si>
  <si>
    <t>JURNAL UMUM</t>
  </si>
  <si>
    <t>Kode Perkiraan</t>
  </si>
  <si>
    <t>Nama Perkiraan</t>
  </si>
  <si>
    <t>Bukti Transaksi</t>
  </si>
  <si>
    <t>Saldo</t>
  </si>
  <si>
    <t>BUKU BESAR</t>
  </si>
  <si>
    <t>BUKU BESAR PEMBANTU PIUTANG PELANGGAN</t>
  </si>
  <si>
    <t>Kode Pelanggan</t>
  </si>
  <si>
    <t>Nama Pelanggan</t>
  </si>
  <si>
    <t>BUKU PEMBANTU HUTANG</t>
  </si>
  <si>
    <t>Kode Supplier</t>
  </si>
  <si>
    <t>Nama Supplier</t>
  </si>
  <si>
    <t>BUKU BESAR PEMBANTU PERSEDIAAN</t>
  </si>
  <si>
    <t>Nama Persediaan</t>
  </si>
  <si>
    <t>NERACA</t>
  </si>
  <si>
    <t>LAPORAN LABA RUGI</t>
  </si>
  <si>
    <t>LAPORAN PERUBAHAN LABA DITAHAN</t>
  </si>
  <si>
    <t>Laba di Tahan Awal Periode</t>
  </si>
  <si>
    <t>Laba bersih</t>
  </si>
  <si>
    <t>Deviden</t>
  </si>
  <si>
    <t>Laba di Tahan Akhir Periode</t>
  </si>
  <si>
    <t>01/PO/01/06</t>
  </si>
  <si>
    <t>01/KK/01/06</t>
  </si>
  <si>
    <t>01/J/01/06</t>
  </si>
  <si>
    <t>01/KM/01/06</t>
  </si>
  <si>
    <t>01/B/01/06</t>
  </si>
  <si>
    <t>01/NK/01/06</t>
  </si>
  <si>
    <t>02/KK/01/06</t>
  </si>
  <si>
    <t>02/KM/01/06</t>
  </si>
  <si>
    <t>03/KM/01/06</t>
  </si>
  <si>
    <t>03/KK/01/06</t>
  </si>
  <si>
    <t>01/NR/01/06</t>
  </si>
  <si>
    <t>04/KM/01/06</t>
  </si>
  <si>
    <t>04/KK/01/06</t>
  </si>
  <si>
    <t>05/KK/01/06</t>
  </si>
  <si>
    <t>02/J/01/06</t>
  </si>
  <si>
    <t>03/J/01/06</t>
  </si>
  <si>
    <t>02/NR/01/06</t>
  </si>
  <si>
    <t>04/J/01/06</t>
  </si>
  <si>
    <t>06/KK/01/06</t>
  </si>
  <si>
    <t>07/KK/01/06</t>
  </si>
  <si>
    <t>08/KK/01/06</t>
  </si>
  <si>
    <t>05/KM/01/06</t>
  </si>
  <si>
    <t>05/J/01/06</t>
  </si>
  <si>
    <t>06/KM/01/06</t>
  </si>
  <si>
    <t>09/KK/01/06</t>
  </si>
  <si>
    <t>01/BM/01/06</t>
  </si>
  <si>
    <t>02/BM/01/06</t>
  </si>
  <si>
    <t>03/BM.01/06</t>
  </si>
  <si>
    <t>04/BM/01/06</t>
  </si>
  <si>
    <t>T O T A L</t>
  </si>
  <si>
    <t>Saldo Awal</t>
  </si>
  <si>
    <t>Mutasi Transaksi</t>
  </si>
  <si>
    <t>Jumlah Piutang</t>
  </si>
  <si>
    <t>Nama Sipplier</t>
  </si>
  <si>
    <t>Jumlah Hutang</t>
  </si>
  <si>
    <t>JU</t>
  </si>
  <si>
    <t>Jumlah Persediaan</t>
  </si>
  <si>
    <t>Neraca Saldo Awal</t>
  </si>
  <si>
    <t>Mutasi</t>
  </si>
  <si>
    <t>Neraca Saldo Akhir</t>
  </si>
  <si>
    <t>JUMLAH AKTIVA LANCAR</t>
  </si>
  <si>
    <t>JUMLAH AKTIVA TETAP</t>
  </si>
  <si>
    <t>JUMLAH KEWAJIBAN LANCAR</t>
  </si>
  <si>
    <t>JUMLAH ASSET</t>
  </si>
  <si>
    <t>JUMLAH KEWAJIBAN JANGKA PANJANG</t>
  </si>
  <si>
    <t>JUMLAH KEWAJIBAN</t>
  </si>
  <si>
    <t>JUMLAH EKUITAS</t>
  </si>
  <si>
    <t>JUMLAH KEWAJIBAN + EKUITAS</t>
  </si>
  <si>
    <t>JUMLAH RETUR DAN POTONGAN</t>
  </si>
  <si>
    <t>PENJUALAN BERSIH</t>
  </si>
  <si>
    <t>LABA KOTOR PENJUALAN</t>
  </si>
  <si>
    <t>JUMLAH BEBAN USAHA</t>
  </si>
  <si>
    <t>JUMLAH PENDAPATAN LUAR USAHA</t>
  </si>
  <si>
    <t>JUMLAH BEBAN LUAR USAHA</t>
  </si>
  <si>
    <t>JUMLAH PENDAPATAN DAN BEBAN LUAR USAHA</t>
  </si>
  <si>
    <t>LABA BERSIH SEBELUM KENA PAJAK</t>
  </si>
  <si>
    <t>No. Account</t>
  </si>
  <si>
    <t>Nama : Rima yuni puspita</t>
  </si>
  <si>
    <t>Npm : 1912120084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</si>
</sst>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Rp&quot;* #,##0_);_(&quot;Rp&quot;* \(#,##0\);_(&quot;Rp&quot;* &quot;-&quot;_);_(@_)"/>
    <numFmt numFmtId="166" formatCode="_-* #,##0_-;\-* #,##0_-;_-* &quot;-&quot;??_-;_-@_-"/>
  </numFmts>
  <fonts count="1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0" fontId="3" fillId="0" borderId="0">
      <alignment vertical="center"/>
    </xf>
    <xf numFmtId="43" fontId="4" fillId="0" borderId="0">
      <protection locked="0"/>
    </xf>
    <xf numFmtId="41" fontId="4" fillId="0" borderId="0">
      <protection locked="0"/>
    </xf>
    <xf numFmtId="0" fontId="7" fillId="0" borderId="0">
      <alignment vertical="center"/>
    </xf>
    <xf numFmtId="43" fontId="8" fillId="0" borderId="0">
      <protection locked="0"/>
    </xf>
    <xf numFmtId="41" fontId="8" fillId="0" borderId="0">
      <protection locked="0"/>
    </xf>
    <xf numFmtId="43" fontId="8" fillId="0" borderId="0">
      <protection locked="0"/>
    </xf>
    <xf numFmtId="43" fontId="8" fillId="0" borderId="0">
      <protection locked="0"/>
    </xf>
  </cellStyleXfs>
  <cellXfs count="217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5" fontId="5" fillId="0" borderId="1" xfId="0" applyNumberFormat="1" applyFont="1" applyBorder="1"/>
    <xf numFmtId="0" fontId="6" fillId="0" borderId="0" xfId="0" applyFont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/>
    <xf numFmtId="0" fontId="5" fillId="0" borderId="0" xfId="0" applyFont="1" applyAlignment="1"/>
    <xf numFmtId="165" fontId="6" fillId="0" borderId="1" xfId="1" applyFont="1" applyBorder="1"/>
    <xf numFmtId="165" fontId="6" fillId="0" borderId="0" xfId="1" applyFont="1"/>
    <xf numFmtId="0" fontId="6" fillId="0" borderId="0" xfId="0" applyFont="1" applyBorder="1"/>
    <xf numFmtId="165" fontId="6" fillId="0" borderId="0" xfId="0" applyNumberFormat="1" applyFont="1"/>
    <xf numFmtId="165" fontId="6" fillId="0" borderId="1" xfId="0" applyNumberFormat="1" applyFont="1" applyBorder="1"/>
    <xf numFmtId="0" fontId="6" fillId="0" borderId="0" xfId="0" applyFont="1" applyAlignment="1">
      <alignment horizontal="center"/>
    </xf>
    <xf numFmtId="0" fontId="1" fillId="0" borderId="0" xfId="0" applyFont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165" fontId="11" fillId="0" borderId="1" xfId="1" applyFont="1" applyBorder="1" applyAlignment="1" applyProtection="1">
      <alignment horizontal="center"/>
    </xf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left"/>
    </xf>
    <xf numFmtId="0" fontId="12" fillId="0" borderId="1" xfId="2" applyFont="1" applyBorder="1" applyAlignment="1"/>
    <xf numFmtId="165" fontId="13" fillId="0" borderId="0" xfId="1" applyFont="1" applyAlignment="1">
      <alignment vertical="center"/>
    </xf>
    <xf numFmtId="165" fontId="12" fillId="0" borderId="1" xfId="1" applyFont="1" applyBorder="1" applyAlignment="1" applyProtection="1"/>
    <xf numFmtId="165" fontId="14" fillId="0" borderId="0" xfId="1" applyFont="1" applyAlignment="1" applyProtection="1"/>
    <xf numFmtId="0" fontId="11" fillId="0" borderId="1" xfId="2" applyFont="1" applyBorder="1" applyAlignment="1"/>
    <xf numFmtId="165" fontId="11" fillId="0" borderId="1" xfId="1" applyFont="1" applyBorder="1" applyAlignment="1" applyProtection="1"/>
    <xf numFmtId="0" fontId="1" fillId="0" borderId="1" xfId="0" applyFont="1" applyBorder="1"/>
    <xf numFmtId="0" fontId="12" fillId="0" borderId="1" xfId="5" applyFont="1" applyBorder="1" applyAlignment="1">
      <alignment horizontal="center"/>
    </xf>
    <xf numFmtId="0" fontId="12" fillId="0" borderId="1" xfId="5" applyFont="1" applyBorder="1" applyAlignment="1"/>
    <xf numFmtId="165" fontId="12" fillId="0" borderId="1" xfId="1" applyFont="1" applyBorder="1" applyAlignment="1"/>
    <xf numFmtId="0" fontId="10" fillId="0" borderId="1" xfId="0" applyFont="1" applyBorder="1" applyAlignment="1">
      <alignment horizontal="center"/>
    </xf>
    <xf numFmtId="166" fontId="12" fillId="0" borderId="1" xfId="8" applyNumberFormat="1" applyFont="1" applyBorder="1" applyAlignment="1" applyProtection="1"/>
    <xf numFmtId="0" fontId="9" fillId="0" borderId="0" xfId="0" applyFont="1" applyAlignment="1"/>
    <xf numFmtId="0" fontId="12" fillId="4" borderId="1" xfId="2" applyFont="1" applyFill="1" applyBorder="1" applyAlignment="1">
      <alignment horizontal="center"/>
    </xf>
    <xf numFmtId="166" fontId="12" fillId="4" borderId="1" xfId="3" applyNumberFormat="1" applyFont="1" applyFill="1" applyBorder="1" applyAlignment="1" applyProtection="1">
      <alignment horizontal="center"/>
    </xf>
    <xf numFmtId="0" fontId="12" fillId="5" borderId="1" xfId="2" applyFont="1" applyFill="1" applyBorder="1" applyAlignment="1"/>
    <xf numFmtId="0" fontId="10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2" fillId="4" borderId="1" xfId="5" applyFont="1" applyFill="1" applyBorder="1" applyAlignment="1">
      <alignment horizontal="center"/>
    </xf>
    <xf numFmtId="166" fontId="12" fillId="4" borderId="1" xfId="8" applyNumberFormat="1" applyFont="1" applyFill="1" applyBorder="1" applyAlignment="1" applyProtection="1">
      <alignment horizontal="center"/>
    </xf>
    <xf numFmtId="0" fontId="12" fillId="3" borderId="1" xfId="5" applyFont="1" applyFill="1" applyBorder="1" applyAlignment="1">
      <alignment horizontal="center"/>
    </xf>
    <xf numFmtId="166" fontId="12" fillId="3" borderId="1" xfId="9" applyNumberFormat="1" applyFont="1" applyFill="1" applyBorder="1" applyAlignment="1" applyProtection="1">
      <alignment horizontal="center"/>
    </xf>
    <xf numFmtId="165" fontId="10" fillId="5" borderId="1" xfId="0" applyNumberFormat="1" applyFont="1" applyFill="1" applyBorder="1"/>
    <xf numFmtId="0" fontId="12" fillId="5" borderId="1" xfId="2" applyFont="1" applyFill="1" applyBorder="1" applyAlignment="1">
      <alignment horizontal="center"/>
    </xf>
    <xf numFmtId="165" fontId="12" fillId="5" borderId="1" xfId="1" applyFont="1" applyFill="1" applyBorder="1" applyAlignment="1" applyProtection="1"/>
    <xf numFmtId="165" fontId="10" fillId="0" borderId="1" xfId="0" applyNumberFormat="1" applyFont="1" applyBorder="1"/>
    <xf numFmtId="166" fontId="12" fillId="4" borderId="1" xfId="6" applyNumberFormat="1" applyFont="1" applyFill="1" applyBorder="1" applyAlignment="1" applyProtection="1">
      <alignment horizontal="center"/>
    </xf>
    <xf numFmtId="0" fontId="6" fillId="0" borderId="16" xfId="0" applyFont="1" applyBorder="1"/>
    <xf numFmtId="0" fontId="9" fillId="4" borderId="3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165" fontId="10" fillId="0" borderId="6" xfId="1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20" xfId="0" applyFont="1" applyBorder="1" applyAlignment="1">
      <alignment horizontal="center"/>
    </xf>
    <xf numFmtId="165" fontId="10" fillId="0" borderId="20" xfId="1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19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5" fontId="10" fillId="0" borderId="1" xfId="1" applyFont="1" applyBorder="1"/>
    <xf numFmtId="0" fontId="10" fillId="0" borderId="1" xfId="0" applyFont="1" applyBorder="1"/>
    <xf numFmtId="0" fontId="10" fillId="0" borderId="11" xfId="0" applyFont="1" applyBorder="1"/>
    <xf numFmtId="165" fontId="10" fillId="0" borderId="11" xfId="1" applyFont="1" applyBorder="1"/>
    <xf numFmtId="165" fontId="10" fillId="0" borderId="21" xfId="1" applyFont="1" applyBorder="1"/>
    <xf numFmtId="0" fontId="10" fillId="0" borderId="22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165" fontId="10" fillId="0" borderId="3" xfId="1" applyFont="1" applyBorder="1"/>
    <xf numFmtId="0" fontId="10" fillId="0" borderId="3" xfId="0" applyFont="1" applyBorder="1"/>
    <xf numFmtId="0" fontId="10" fillId="0" borderId="23" xfId="0" applyFont="1" applyBorder="1"/>
    <xf numFmtId="165" fontId="10" fillId="0" borderId="11" xfId="0" applyNumberFormat="1" applyFont="1" applyBorder="1"/>
    <xf numFmtId="165" fontId="10" fillId="0" borderId="21" xfId="0" applyNumberFormat="1" applyFont="1" applyBorder="1"/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165" fontId="10" fillId="5" borderId="24" xfId="1" applyFont="1" applyFill="1" applyBorder="1"/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10" fillId="0" borderId="25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165" fontId="10" fillId="0" borderId="0" xfId="1" applyFont="1" applyBorder="1"/>
    <xf numFmtId="0" fontId="6" fillId="2" borderId="0" xfId="0" applyFont="1" applyFill="1" applyBorder="1"/>
    <xf numFmtId="0" fontId="6" fillId="2" borderId="0" xfId="0" applyFont="1" applyFill="1" applyBorder="1" applyAlignment="1"/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10" fillId="4" borderId="1" xfId="0" applyFont="1" applyFill="1" applyBorder="1" applyAlignment="1">
      <alignment horizontal="center"/>
    </xf>
    <xf numFmtId="16" fontId="10" fillId="0" borderId="1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64" fontId="10" fillId="0" borderId="1" xfId="1" applyNumberFormat="1" applyFont="1" applyBorder="1"/>
    <xf numFmtId="0" fontId="10" fillId="0" borderId="0" xfId="0" applyFont="1"/>
    <xf numFmtId="165" fontId="6" fillId="2" borderId="0" xfId="1" applyFont="1" applyFill="1" applyBorder="1" applyAlignment="1"/>
    <xf numFmtId="165" fontId="6" fillId="2" borderId="0" xfId="1" applyFont="1" applyFill="1" applyBorder="1"/>
    <xf numFmtId="165" fontId="6" fillId="4" borderId="1" xfId="1" applyFont="1" applyFill="1" applyBorder="1" applyAlignment="1">
      <alignment horizontal="center"/>
    </xf>
    <xf numFmtId="0" fontId="6" fillId="4" borderId="0" xfId="0" applyFont="1" applyFill="1"/>
    <xf numFmtId="165" fontId="10" fillId="2" borderId="0" xfId="1" applyFont="1" applyFill="1" applyBorder="1" applyAlignment="1"/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2" borderId="0" xfId="0" applyFont="1" applyFill="1"/>
    <xf numFmtId="165" fontId="10" fillId="2" borderId="0" xfId="1" applyFont="1" applyFill="1"/>
    <xf numFmtId="165" fontId="10" fillId="4" borderId="1" xfId="1" applyFont="1" applyFill="1" applyBorder="1" applyAlignment="1">
      <alignment horizontal="center"/>
    </xf>
    <xf numFmtId="165" fontId="10" fillId="0" borderId="0" xfId="1" applyFont="1"/>
    <xf numFmtId="14" fontId="10" fillId="0" borderId="3" xfId="0" applyNumberFormat="1" applyFont="1" applyBorder="1" applyAlignment="1">
      <alignment horizontal="center"/>
    </xf>
    <xf numFmtId="165" fontId="10" fillId="0" borderId="1" xfId="1" applyFont="1" applyBorder="1" applyAlignment="1">
      <alignment horizontal="center"/>
    </xf>
    <xf numFmtId="0" fontId="10" fillId="0" borderId="1" xfId="1" applyNumberFormat="1" applyFont="1" applyBorder="1"/>
    <xf numFmtId="0" fontId="10" fillId="0" borderId="1" xfId="0" applyNumberFormat="1" applyFont="1" applyBorder="1"/>
    <xf numFmtId="0" fontId="10" fillId="0" borderId="1" xfId="0" applyNumberFormat="1" applyFont="1" applyBorder="1" applyAlignment="1">
      <alignment horizontal="center"/>
    </xf>
    <xf numFmtId="0" fontId="10" fillId="0" borderId="0" xfId="0" applyFont="1" applyFill="1"/>
    <xf numFmtId="165" fontId="10" fillId="0" borderId="0" xfId="1" applyFont="1" applyFill="1"/>
    <xf numFmtId="0" fontId="10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1" applyFont="1" applyAlignment="1"/>
    <xf numFmtId="165" fontId="10" fillId="0" borderId="0" xfId="1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/>
    <xf numFmtId="165" fontId="9" fillId="0" borderId="2" xfId="1" applyFont="1" applyBorder="1" applyAlignment="1"/>
    <xf numFmtId="165" fontId="9" fillId="0" borderId="0" xfId="1" applyFont="1" applyBorder="1" applyAlignment="1"/>
    <xf numFmtId="165" fontId="10" fillId="0" borderId="2" xfId="1" applyFont="1" applyBorder="1"/>
    <xf numFmtId="165" fontId="9" fillId="0" borderId="0" xfId="1" applyFont="1"/>
    <xf numFmtId="165" fontId="9" fillId="0" borderId="2" xfId="1" applyFont="1" applyBorder="1"/>
    <xf numFmtId="165" fontId="9" fillId="0" borderId="14" xfId="1" applyFont="1" applyBorder="1"/>
    <xf numFmtId="165" fontId="10" fillId="5" borderId="0" xfId="1" applyFont="1" applyFill="1"/>
    <xf numFmtId="165" fontId="9" fillId="5" borderId="30" xfId="1" applyFont="1" applyFill="1" applyBorder="1"/>
    <xf numFmtId="0" fontId="9" fillId="0" borderId="0" xfId="0" applyFont="1" applyFill="1"/>
    <xf numFmtId="165" fontId="10" fillId="0" borderId="0" xfId="0" applyNumberFormat="1" applyFont="1" applyFill="1"/>
    <xf numFmtId="165" fontId="10" fillId="0" borderId="2" xfId="0" applyNumberFormat="1" applyFont="1" applyFill="1" applyBorder="1"/>
    <xf numFmtId="165" fontId="10" fillId="0" borderId="31" xfId="0" applyNumberFormat="1" applyFont="1" applyFill="1" applyBorder="1"/>
    <xf numFmtId="0" fontId="9" fillId="0" borderId="14" xfId="0" applyFont="1" applyBorder="1" applyAlignment="1">
      <alignment horizontal="center"/>
    </xf>
    <xf numFmtId="0" fontId="9" fillId="0" borderId="14" xfId="0" applyFont="1" applyBorder="1" applyAlignment="1">
      <alignment vertical="center"/>
    </xf>
    <xf numFmtId="165" fontId="9" fillId="0" borderId="14" xfId="1" applyFont="1" applyBorder="1" applyAlignment="1">
      <alignment vertical="center"/>
    </xf>
    <xf numFmtId="0" fontId="9" fillId="0" borderId="17" xfId="0" applyFont="1" applyBorder="1" applyAlignment="1">
      <alignment horizontal="center"/>
    </xf>
    <xf numFmtId="0" fontId="9" fillId="0" borderId="14" xfId="0" applyFont="1" applyBorder="1"/>
    <xf numFmtId="165" fontId="10" fillId="0" borderId="14" xfId="1" applyFont="1" applyBorder="1"/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horizontal="center"/>
    </xf>
    <xf numFmtId="0" fontId="9" fillId="0" borderId="0" xfId="0" applyFont="1"/>
    <xf numFmtId="0" fontId="10" fillId="0" borderId="16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165" fontId="10" fillId="0" borderId="0" xfId="1" applyFont="1" applyFill="1" applyAlignment="1"/>
    <xf numFmtId="165" fontId="9" fillId="5" borderId="29" xfId="1" applyFont="1" applyFill="1" applyBorder="1"/>
    <xf numFmtId="165" fontId="9" fillId="5" borderId="31" xfId="1" applyFont="1" applyFill="1" applyBorder="1"/>
    <xf numFmtId="165" fontId="9" fillId="5" borderId="0" xfId="1" applyFont="1" applyFill="1"/>
    <xf numFmtId="0" fontId="9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2" fillId="2" borderId="0" xfId="5" applyFont="1" applyFill="1" applyAlignment="1">
      <alignment horizontal="left"/>
    </xf>
    <xf numFmtId="0" fontId="12" fillId="2" borderId="2" xfId="5" applyFont="1" applyFill="1" applyBorder="1" applyAlignment="1">
      <alignment horizontal="left"/>
    </xf>
    <xf numFmtId="0" fontId="10" fillId="5" borderId="1" xfId="0" applyFont="1" applyFill="1" applyBorder="1" applyAlignment="1">
      <alignment horizontal="center"/>
    </xf>
    <xf numFmtId="166" fontId="12" fillId="3" borderId="1" xfId="9" applyNumberFormat="1" applyFont="1" applyFill="1" applyBorder="1" applyAlignment="1" applyProtection="1">
      <alignment horizontal="center"/>
    </xf>
    <xf numFmtId="166" fontId="12" fillId="0" borderId="1" xfId="8" applyNumberFormat="1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6" fontId="12" fillId="0" borderId="1" xfId="8" applyNumberFormat="1" applyFont="1" applyBorder="1" applyAlignment="1" applyProtection="1">
      <alignment horizontal="left"/>
    </xf>
    <xf numFmtId="166" fontId="12" fillId="4" borderId="1" xfId="8" applyNumberFormat="1" applyFont="1" applyFill="1" applyBorder="1" applyAlignment="1" applyProtection="1">
      <alignment horizontal="center"/>
    </xf>
    <xf numFmtId="0" fontId="1" fillId="5" borderId="1" xfId="0" applyFont="1" applyFill="1" applyBorder="1" applyAlignment="1">
      <alignment horizontal="center"/>
    </xf>
    <xf numFmtId="166" fontId="12" fillId="0" borderId="1" xfId="9" applyNumberFormat="1" applyFont="1" applyBorder="1" applyAlignment="1" applyProtection="1">
      <alignment horizontal="left"/>
    </xf>
    <xf numFmtId="14" fontId="10" fillId="0" borderId="19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 vertical="center" wrapText="1"/>
    </xf>
    <xf numFmtId="165" fontId="9" fillId="4" borderId="8" xfId="1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6" fillId="4" borderId="1" xfId="1" applyFont="1" applyFill="1" applyBorder="1" applyAlignment="1">
      <alignment horizontal="center"/>
    </xf>
    <xf numFmtId="165" fontId="6" fillId="4" borderId="1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165" fontId="10" fillId="4" borderId="1" xfId="1" applyFont="1" applyFill="1" applyBorder="1" applyAlignment="1">
      <alignment horizontal="center" vertical="center" wrapText="1"/>
    </xf>
    <xf numFmtId="165" fontId="10" fillId="4" borderId="1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</cellXfs>
  <cellStyles count="10">
    <cellStyle name="Comma [0] 2" xfId="4" xr:uid="{00000000-0005-0000-0000-000000000000}"/>
    <cellStyle name="Comma [0] 3" xfId="7" xr:uid="{00000000-0005-0000-0000-000001000000}"/>
    <cellStyle name="Comma 2" xfId="3" xr:uid="{00000000-0005-0000-0000-000002000000}"/>
    <cellStyle name="Comma 3" xfId="6" xr:uid="{00000000-0005-0000-0000-000003000000}"/>
    <cellStyle name="Comma 4" xfId="8" xr:uid="{00000000-0005-0000-0000-000004000000}"/>
    <cellStyle name="Comma 5" xfId="9" xr:uid="{00000000-0005-0000-0000-000005000000}"/>
    <cellStyle name="Mata Uang [0]" xfId="1" builtinId="7"/>
    <cellStyle name="Normal" xfId="0" builtinId="0"/>
    <cellStyle name="Normal 2" xfId="2" xr:uid="{00000000-0005-0000-0000-000008000000}"/>
    <cellStyle name="Normal 3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1047750</xdr:colOff>
      <xdr:row>11</xdr:row>
      <xdr:rowOff>38100</xdr:rowOff>
    </xdr:from>
    <xdr:to>
      <xdr:col>12</xdr:col>
      <xdr:colOff>342900</xdr:colOff>
      <xdr:row>12</xdr:row>
      <xdr:rowOff>47625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753850" y="2238375"/>
          <a:ext cx="371475" cy="209550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"/>
  <sheetViews>
    <sheetView tabSelected="1" workbookViewId="0">
      <selection activeCell="A2" sqref="A2"/>
    </sheetView>
  </sheetViews>
  <sheetFormatPr defaultRowHeight="15" x14ac:dyDescent="0.2"/>
  <cols>
    <col min="1" max="1" width="14.66015625" customWidth="1"/>
    <col min="2" max="2" width="40.7578125" customWidth="1"/>
    <col min="3" max="3" width="11.703125" customWidth="1"/>
    <col min="4" max="4" width="22.328125" customWidth="1"/>
    <col min="5" max="5" width="18.96484375" customWidth="1"/>
    <col min="6" max="6" width="10.22265625" customWidth="1"/>
    <col min="7" max="7" width="14.796875" customWidth="1"/>
    <col min="8" max="8" width="17.21875" customWidth="1"/>
  </cols>
  <sheetData>
    <row r="1" spans="1:8" x14ac:dyDescent="0.2">
      <c r="A1" s="35" t="s">
        <v>229</v>
      </c>
      <c r="B1" s="35"/>
      <c r="C1" s="35"/>
      <c r="D1" s="35"/>
      <c r="E1" s="35"/>
      <c r="F1" s="17"/>
      <c r="G1" s="17"/>
      <c r="H1" s="17"/>
    </row>
    <row r="2" spans="1:8" x14ac:dyDescent="0.2">
      <c r="A2" s="35" t="s">
        <v>230</v>
      </c>
      <c r="B2" s="35"/>
      <c r="C2" s="35"/>
      <c r="D2" s="35"/>
      <c r="E2" s="35"/>
      <c r="F2" s="17"/>
      <c r="G2" s="17"/>
      <c r="H2" s="17"/>
    </row>
    <row r="3" spans="1:8" x14ac:dyDescent="0.2">
      <c r="A3" s="154" t="s">
        <v>70</v>
      </c>
      <c r="B3" s="154"/>
      <c r="C3" s="154"/>
      <c r="D3" s="154"/>
      <c r="E3" s="154"/>
      <c r="F3" s="17"/>
      <c r="G3" s="17"/>
      <c r="H3" s="17"/>
    </row>
    <row r="4" spans="1:8" x14ac:dyDescent="0.2">
      <c r="A4" s="155" t="s">
        <v>71</v>
      </c>
      <c r="B4" s="155"/>
      <c r="C4" s="155"/>
      <c r="D4" s="155"/>
      <c r="E4" s="155"/>
      <c r="F4" s="17"/>
      <c r="G4" s="17"/>
      <c r="H4" s="17"/>
    </row>
    <row r="5" spans="1:8" x14ac:dyDescent="0.2">
      <c r="A5" s="36" t="s">
        <v>228</v>
      </c>
      <c r="B5" s="36" t="s">
        <v>0</v>
      </c>
      <c r="C5" s="36" t="s">
        <v>1</v>
      </c>
      <c r="D5" s="37" t="s">
        <v>2</v>
      </c>
      <c r="E5" s="37" t="s">
        <v>3</v>
      </c>
      <c r="F5" s="17"/>
      <c r="G5" s="17"/>
      <c r="H5" s="17"/>
    </row>
    <row r="6" spans="1:8" x14ac:dyDescent="0.2">
      <c r="A6" s="18">
        <v>10000</v>
      </c>
      <c r="B6" s="19" t="s">
        <v>4</v>
      </c>
      <c r="C6" s="18"/>
      <c r="D6" s="20"/>
      <c r="E6" s="20"/>
      <c r="F6" s="17"/>
      <c r="G6" s="17"/>
      <c r="H6" s="17"/>
    </row>
    <row r="7" spans="1:8" x14ac:dyDescent="0.2">
      <c r="A7" s="21">
        <v>11000</v>
      </c>
      <c r="B7" s="22" t="s">
        <v>5</v>
      </c>
      <c r="C7" s="18"/>
      <c r="D7" s="20"/>
      <c r="E7" s="20"/>
      <c r="F7" s="17"/>
      <c r="G7" s="17"/>
      <c r="H7" s="17"/>
    </row>
    <row r="8" spans="1:8" x14ac:dyDescent="0.2">
      <c r="A8" s="21">
        <v>11100</v>
      </c>
      <c r="B8" s="23" t="s">
        <v>6</v>
      </c>
      <c r="C8" s="23"/>
      <c r="D8" s="24"/>
      <c r="E8" s="25"/>
      <c r="F8" s="17"/>
      <c r="G8" s="17"/>
      <c r="H8" s="17"/>
    </row>
    <row r="9" spans="1:8" x14ac:dyDescent="0.2">
      <c r="A9" s="21">
        <v>11101</v>
      </c>
      <c r="B9" s="23" t="s">
        <v>7</v>
      </c>
      <c r="C9" s="23"/>
      <c r="D9" s="25">
        <v>2500000</v>
      </c>
      <c r="E9" s="25"/>
      <c r="F9" s="17"/>
      <c r="G9" s="17"/>
      <c r="H9" s="17"/>
    </row>
    <row r="10" spans="1:8" x14ac:dyDescent="0.2">
      <c r="A10" s="21">
        <v>11102</v>
      </c>
      <c r="B10" s="23" t="s">
        <v>8</v>
      </c>
      <c r="C10" s="23"/>
      <c r="D10" s="25">
        <v>750000</v>
      </c>
      <c r="E10" s="25"/>
      <c r="F10" s="17"/>
      <c r="G10" s="17"/>
      <c r="H10" s="17"/>
    </row>
    <row r="11" spans="1:8" x14ac:dyDescent="0.2">
      <c r="A11" s="21">
        <v>11200</v>
      </c>
      <c r="B11" s="23" t="s">
        <v>9</v>
      </c>
      <c r="C11" s="23"/>
      <c r="D11" s="25"/>
      <c r="E11" s="25"/>
      <c r="F11" s="17"/>
      <c r="G11" s="17"/>
      <c r="H11" s="17"/>
    </row>
    <row r="12" spans="1:8" x14ac:dyDescent="0.2">
      <c r="A12" s="21">
        <v>11201</v>
      </c>
      <c r="B12" s="23" t="s">
        <v>10</v>
      </c>
      <c r="C12" s="23"/>
      <c r="D12" s="25">
        <v>45000000</v>
      </c>
      <c r="E12" s="25"/>
      <c r="F12" s="17"/>
      <c r="G12" s="17"/>
      <c r="H12" s="17"/>
    </row>
    <row r="13" spans="1:8" x14ac:dyDescent="0.2">
      <c r="A13" s="21">
        <v>11202</v>
      </c>
      <c r="B13" s="23" t="s">
        <v>11</v>
      </c>
      <c r="C13" s="23"/>
      <c r="D13" s="25">
        <v>25000000</v>
      </c>
      <c r="E13" s="25"/>
      <c r="F13" s="17"/>
      <c r="G13" s="17"/>
      <c r="H13" s="17"/>
    </row>
    <row r="14" spans="1:8" x14ac:dyDescent="0.2">
      <c r="A14" s="21">
        <v>11300</v>
      </c>
      <c r="B14" s="23" t="s">
        <v>12</v>
      </c>
      <c r="C14" s="23"/>
      <c r="D14" s="25"/>
      <c r="E14" s="25"/>
      <c r="F14" s="17"/>
      <c r="G14" s="17"/>
      <c r="H14" s="17"/>
    </row>
    <row r="15" spans="1:8" x14ac:dyDescent="0.2">
      <c r="A15" s="21">
        <v>11301</v>
      </c>
      <c r="B15" s="23" t="s">
        <v>13</v>
      </c>
      <c r="C15" s="23"/>
      <c r="D15" s="26">
        <v>47500000</v>
      </c>
      <c r="E15" s="25"/>
      <c r="F15" s="17"/>
      <c r="G15" s="17"/>
      <c r="H15" s="17"/>
    </row>
    <row r="16" spans="1:8" x14ac:dyDescent="0.2">
      <c r="A16" s="21">
        <v>11302</v>
      </c>
      <c r="B16" s="23" t="s">
        <v>14</v>
      </c>
      <c r="C16" s="23"/>
      <c r="D16" s="25"/>
      <c r="E16" s="25"/>
      <c r="F16" s="17"/>
      <c r="G16" s="17"/>
      <c r="H16" s="17"/>
    </row>
    <row r="17" spans="1:8" x14ac:dyDescent="0.2">
      <c r="A17" s="21">
        <v>11400</v>
      </c>
      <c r="B17" s="23" t="s">
        <v>15</v>
      </c>
      <c r="C17" s="23"/>
      <c r="D17" s="25"/>
      <c r="E17" s="25"/>
      <c r="F17" s="17"/>
      <c r="G17" s="17"/>
      <c r="H17" s="17"/>
    </row>
    <row r="18" spans="1:8" x14ac:dyDescent="0.2">
      <c r="A18" s="21">
        <v>11401</v>
      </c>
      <c r="B18" s="23" t="s">
        <v>16</v>
      </c>
      <c r="C18" s="23"/>
      <c r="D18" s="25"/>
      <c r="E18" s="25"/>
      <c r="F18" s="17"/>
      <c r="G18" s="17"/>
      <c r="H18" s="17"/>
    </row>
    <row r="19" spans="1:8" x14ac:dyDescent="0.2">
      <c r="A19" s="21">
        <v>11500</v>
      </c>
      <c r="B19" s="23" t="s">
        <v>17</v>
      </c>
      <c r="C19" s="23"/>
      <c r="D19" s="25">
        <v>166380000</v>
      </c>
      <c r="E19" s="25"/>
      <c r="F19" s="17"/>
      <c r="G19" s="17"/>
      <c r="H19" s="17"/>
    </row>
    <row r="20" spans="1:8" x14ac:dyDescent="0.2">
      <c r="A20" s="21">
        <v>11600</v>
      </c>
      <c r="B20" s="23" t="s">
        <v>18</v>
      </c>
      <c r="C20" s="23"/>
      <c r="D20" s="25"/>
      <c r="E20" s="25"/>
      <c r="F20" s="17"/>
      <c r="G20" s="17"/>
      <c r="H20" s="17"/>
    </row>
    <row r="21" spans="1:8" x14ac:dyDescent="0.2">
      <c r="A21" s="21">
        <v>11601</v>
      </c>
      <c r="B21" s="23" t="s">
        <v>19</v>
      </c>
      <c r="C21" s="23"/>
      <c r="D21" s="25"/>
      <c r="E21" s="25"/>
      <c r="F21" s="17"/>
      <c r="G21" s="17"/>
      <c r="H21" s="17"/>
    </row>
    <row r="22" spans="1:8" x14ac:dyDescent="0.2">
      <c r="A22" s="21">
        <v>11602</v>
      </c>
      <c r="B22" s="23" t="s">
        <v>20</v>
      </c>
      <c r="C22" s="23"/>
      <c r="D22" s="25"/>
      <c r="E22" s="25"/>
      <c r="F22" s="17"/>
      <c r="G22" s="17"/>
      <c r="H22" s="17"/>
    </row>
    <row r="23" spans="1:8" x14ac:dyDescent="0.2">
      <c r="A23" s="21">
        <v>12000</v>
      </c>
      <c r="B23" s="23" t="s">
        <v>21</v>
      </c>
      <c r="C23" s="23"/>
      <c r="D23" s="25"/>
      <c r="E23" s="25"/>
      <c r="F23" s="17"/>
      <c r="G23" s="17"/>
      <c r="H23" s="17"/>
    </row>
    <row r="24" spans="1:8" x14ac:dyDescent="0.2">
      <c r="A24" s="21">
        <v>12100</v>
      </c>
      <c r="B24" s="23" t="s">
        <v>22</v>
      </c>
      <c r="C24" s="23"/>
      <c r="D24" s="25"/>
      <c r="E24" s="25"/>
      <c r="F24" s="17"/>
      <c r="G24" s="17"/>
      <c r="H24" s="17"/>
    </row>
    <row r="25" spans="1:8" x14ac:dyDescent="0.2">
      <c r="A25" s="21">
        <v>12101</v>
      </c>
      <c r="B25" s="23" t="s">
        <v>23</v>
      </c>
      <c r="C25" s="23"/>
      <c r="D25" s="25">
        <v>25000000</v>
      </c>
      <c r="E25" s="25"/>
      <c r="F25" s="17"/>
      <c r="G25" s="17"/>
      <c r="H25" s="17"/>
    </row>
    <row r="26" spans="1:8" x14ac:dyDescent="0.2">
      <c r="A26" s="21">
        <v>12102</v>
      </c>
      <c r="B26" s="23" t="s">
        <v>24</v>
      </c>
      <c r="C26" s="23"/>
      <c r="D26" s="25"/>
      <c r="E26" s="25">
        <v>7500000</v>
      </c>
      <c r="F26" s="17"/>
      <c r="G26" s="17"/>
      <c r="H26" s="17"/>
    </row>
    <row r="27" spans="1:8" x14ac:dyDescent="0.2">
      <c r="A27" s="21">
        <v>12200</v>
      </c>
      <c r="B27" s="23" t="s">
        <v>25</v>
      </c>
      <c r="C27" s="23"/>
      <c r="D27" s="25"/>
      <c r="E27" s="25"/>
      <c r="F27" s="17"/>
      <c r="G27" s="17"/>
      <c r="H27" s="17"/>
    </row>
    <row r="28" spans="1:8" x14ac:dyDescent="0.2">
      <c r="A28" s="21">
        <v>12201</v>
      </c>
      <c r="B28" s="23" t="s">
        <v>26</v>
      </c>
      <c r="C28" s="23"/>
      <c r="D28" s="25">
        <v>45000000</v>
      </c>
      <c r="E28" s="25"/>
      <c r="F28" s="17"/>
      <c r="G28" s="17"/>
      <c r="H28" s="17"/>
    </row>
    <row r="29" spans="1:8" x14ac:dyDescent="0.2">
      <c r="A29" s="21">
        <v>12202</v>
      </c>
      <c r="B29" s="23" t="s">
        <v>27</v>
      </c>
      <c r="C29" s="23"/>
      <c r="D29" s="25"/>
      <c r="E29" s="25">
        <v>25000000</v>
      </c>
      <c r="F29" s="17"/>
      <c r="G29" s="17"/>
      <c r="H29" s="17"/>
    </row>
    <row r="30" spans="1:8" x14ac:dyDescent="0.2">
      <c r="A30" s="18">
        <v>20000</v>
      </c>
      <c r="B30" s="27" t="s">
        <v>28</v>
      </c>
      <c r="C30" s="23"/>
      <c r="D30" s="25"/>
      <c r="E30" s="25"/>
      <c r="F30" s="17"/>
      <c r="G30" s="17"/>
      <c r="H30" s="17"/>
    </row>
    <row r="31" spans="1:8" x14ac:dyDescent="0.2">
      <c r="A31" s="21">
        <v>21000</v>
      </c>
      <c r="B31" s="23" t="s">
        <v>29</v>
      </c>
      <c r="C31" s="23"/>
      <c r="D31" s="25"/>
      <c r="E31" s="25"/>
      <c r="F31" s="17"/>
      <c r="G31" s="17"/>
      <c r="H31" s="17"/>
    </row>
    <row r="32" spans="1:8" x14ac:dyDescent="0.2">
      <c r="A32" s="21">
        <v>21100</v>
      </c>
      <c r="B32" s="23" t="s">
        <v>30</v>
      </c>
      <c r="C32" s="23"/>
      <c r="D32" s="25"/>
      <c r="E32" s="25">
        <v>75000000</v>
      </c>
      <c r="F32" s="17"/>
      <c r="G32" s="17"/>
      <c r="H32" s="17"/>
    </row>
    <row r="33" spans="1:8" x14ac:dyDescent="0.2">
      <c r="A33" s="21">
        <v>21200</v>
      </c>
      <c r="B33" s="23" t="s">
        <v>31</v>
      </c>
      <c r="C33" s="23"/>
      <c r="D33" s="25"/>
      <c r="E33" s="25"/>
      <c r="F33" s="17"/>
      <c r="G33" s="17"/>
      <c r="H33" s="17"/>
    </row>
    <row r="34" spans="1:8" x14ac:dyDescent="0.2">
      <c r="A34" s="21">
        <v>21300</v>
      </c>
      <c r="B34" s="23" t="s">
        <v>32</v>
      </c>
      <c r="C34" s="23"/>
      <c r="D34" s="25"/>
      <c r="E34" s="25"/>
      <c r="F34" s="17"/>
      <c r="G34" s="17"/>
      <c r="H34" s="17"/>
    </row>
    <row r="35" spans="1:8" x14ac:dyDescent="0.2">
      <c r="A35" s="21">
        <v>21400</v>
      </c>
      <c r="B35" s="23" t="s">
        <v>33</v>
      </c>
      <c r="C35" s="23"/>
      <c r="D35" s="25"/>
      <c r="E35" s="25"/>
      <c r="F35" s="17"/>
      <c r="G35" s="17"/>
      <c r="H35" s="17"/>
    </row>
    <row r="36" spans="1:8" x14ac:dyDescent="0.2">
      <c r="A36" s="21">
        <v>21401</v>
      </c>
      <c r="B36" s="23" t="s">
        <v>34</v>
      </c>
      <c r="C36" s="23"/>
      <c r="D36" s="25"/>
      <c r="E36" s="25"/>
      <c r="F36" s="17"/>
      <c r="G36" s="17"/>
      <c r="H36" s="17"/>
    </row>
    <row r="37" spans="1:8" x14ac:dyDescent="0.2">
      <c r="A37" s="21">
        <v>21402</v>
      </c>
      <c r="B37" s="23" t="s">
        <v>35</v>
      </c>
      <c r="C37" s="23"/>
      <c r="D37" s="25"/>
      <c r="E37" s="25"/>
      <c r="F37" s="17"/>
      <c r="G37" s="17"/>
      <c r="H37" s="17"/>
    </row>
    <row r="38" spans="1:8" x14ac:dyDescent="0.2">
      <c r="A38" s="21">
        <v>21403</v>
      </c>
      <c r="B38" s="23" t="s">
        <v>36</v>
      </c>
      <c r="C38" s="23"/>
      <c r="D38" s="25"/>
      <c r="E38" s="25"/>
      <c r="F38" s="17"/>
      <c r="G38" s="17"/>
      <c r="H38" s="17"/>
    </row>
    <row r="39" spans="1:8" x14ac:dyDescent="0.2">
      <c r="A39" s="21">
        <v>22000</v>
      </c>
      <c r="B39" s="23" t="s">
        <v>37</v>
      </c>
      <c r="C39" s="23"/>
      <c r="D39" s="25"/>
      <c r="E39" s="25"/>
      <c r="F39" s="17"/>
      <c r="G39" s="17"/>
      <c r="H39" s="17"/>
    </row>
    <row r="40" spans="1:8" x14ac:dyDescent="0.2">
      <c r="A40" s="21">
        <v>22001</v>
      </c>
      <c r="B40" s="23" t="s">
        <v>38</v>
      </c>
      <c r="C40" s="23"/>
      <c r="D40" s="25"/>
      <c r="E40" s="25">
        <v>75000000</v>
      </c>
      <c r="F40" s="17"/>
      <c r="G40" s="17"/>
      <c r="H40" s="17"/>
    </row>
    <row r="41" spans="1:8" x14ac:dyDescent="0.2">
      <c r="A41" s="18">
        <v>30000</v>
      </c>
      <c r="B41" s="27" t="s">
        <v>39</v>
      </c>
      <c r="C41" s="23"/>
      <c r="D41" s="25"/>
      <c r="E41" s="25"/>
      <c r="F41" s="17"/>
      <c r="G41" s="17"/>
      <c r="H41" s="17"/>
    </row>
    <row r="42" spans="1:8" x14ac:dyDescent="0.2">
      <c r="A42" s="21">
        <v>31000</v>
      </c>
      <c r="B42" s="23" t="s">
        <v>40</v>
      </c>
      <c r="C42" s="23"/>
      <c r="D42" s="25"/>
      <c r="E42" s="25">
        <v>150000000</v>
      </c>
      <c r="F42" s="17"/>
      <c r="G42" s="17"/>
      <c r="H42" s="17"/>
    </row>
    <row r="43" spans="1:8" x14ac:dyDescent="0.2">
      <c r="A43" s="21">
        <v>32000</v>
      </c>
      <c r="B43" s="23" t="s">
        <v>41</v>
      </c>
      <c r="C43" s="23"/>
      <c r="D43" s="25"/>
      <c r="E43" s="25">
        <v>24630000</v>
      </c>
      <c r="F43" s="17"/>
      <c r="G43" s="17"/>
      <c r="H43" s="17"/>
    </row>
    <row r="44" spans="1:8" x14ac:dyDescent="0.2">
      <c r="A44" s="21">
        <v>33000</v>
      </c>
      <c r="B44" s="23" t="s">
        <v>42</v>
      </c>
      <c r="C44" s="23"/>
      <c r="D44" s="25"/>
      <c r="E44" s="25"/>
      <c r="F44" s="17"/>
      <c r="G44" s="17"/>
      <c r="H44" s="17"/>
    </row>
    <row r="45" spans="1:8" x14ac:dyDescent="0.2">
      <c r="A45" s="21">
        <v>39999</v>
      </c>
      <c r="B45" s="23" t="s">
        <v>43</v>
      </c>
      <c r="C45" s="23"/>
      <c r="D45" s="25"/>
      <c r="E45" s="25"/>
      <c r="F45" s="17"/>
      <c r="G45" s="17"/>
      <c r="H45" s="17"/>
    </row>
    <row r="46" spans="1:8" x14ac:dyDescent="0.2">
      <c r="A46" s="18">
        <v>40000</v>
      </c>
      <c r="B46" s="27" t="s">
        <v>44</v>
      </c>
      <c r="C46" s="23"/>
      <c r="D46" s="25"/>
      <c r="E46" s="25"/>
      <c r="F46" s="17"/>
      <c r="G46" s="17"/>
      <c r="H46" s="17"/>
    </row>
    <row r="47" spans="1:8" x14ac:dyDescent="0.2">
      <c r="A47" s="21">
        <v>41000</v>
      </c>
      <c r="B47" s="23" t="s">
        <v>45</v>
      </c>
      <c r="C47" s="23"/>
      <c r="D47" s="25"/>
      <c r="E47" s="25"/>
      <c r="F47" s="17"/>
      <c r="G47" s="17"/>
      <c r="H47" s="17"/>
    </row>
    <row r="48" spans="1:8" x14ac:dyDescent="0.2">
      <c r="A48" s="21">
        <v>42000</v>
      </c>
      <c r="B48" s="23" t="s">
        <v>46</v>
      </c>
      <c r="C48" s="23"/>
      <c r="D48" s="25"/>
      <c r="E48" s="25"/>
      <c r="F48" s="17"/>
      <c r="G48" s="17"/>
      <c r="H48" s="17"/>
    </row>
    <row r="49" spans="1:8" x14ac:dyDescent="0.2">
      <c r="A49" s="21">
        <v>43000</v>
      </c>
      <c r="B49" s="23" t="s">
        <v>47</v>
      </c>
      <c r="C49" s="23"/>
      <c r="D49" s="25"/>
      <c r="E49" s="25"/>
      <c r="F49" s="17"/>
      <c r="G49" s="17"/>
      <c r="H49" s="17"/>
    </row>
    <row r="50" spans="1:8" x14ac:dyDescent="0.2">
      <c r="A50" s="18">
        <v>50000</v>
      </c>
      <c r="B50" s="27" t="s">
        <v>48</v>
      </c>
      <c r="C50" s="23"/>
      <c r="D50" s="25"/>
      <c r="E50" s="25"/>
      <c r="F50" s="17"/>
      <c r="G50" s="17"/>
      <c r="H50" s="17"/>
    </row>
    <row r="51" spans="1:8" x14ac:dyDescent="0.2">
      <c r="A51" s="21">
        <v>51000</v>
      </c>
      <c r="B51" s="23" t="s">
        <v>49</v>
      </c>
      <c r="C51" s="23"/>
      <c r="D51" s="25"/>
      <c r="E51" s="25"/>
      <c r="F51" s="17"/>
      <c r="G51" s="17"/>
      <c r="H51" s="17"/>
    </row>
    <row r="52" spans="1:8" x14ac:dyDescent="0.2">
      <c r="A52" s="18">
        <v>60000</v>
      </c>
      <c r="B52" s="27" t="s">
        <v>50</v>
      </c>
      <c r="C52" s="23"/>
      <c r="D52" s="25"/>
      <c r="E52" s="25"/>
      <c r="F52" s="17"/>
      <c r="G52" s="17"/>
      <c r="H52" s="17"/>
    </row>
    <row r="53" spans="1:8" x14ac:dyDescent="0.2">
      <c r="A53" s="21">
        <v>61001</v>
      </c>
      <c r="B53" s="23" t="s">
        <v>51</v>
      </c>
      <c r="C53" s="23"/>
      <c r="D53" s="25"/>
      <c r="E53" s="25"/>
      <c r="F53" s="17"/>
      <c r="G53" s="17"/>
      <c r="H53" s="17"/>
    </row>
    <row r="54" spans="1:8" x14ac:dyDescent="0.2">
      <c r="A54" s="21">
        <v>61002</v>
      </c>
      <c r="B54" s="23" t="s">
        <v>52</v>
      </c>
      <c r="C54" s="23"/>
      <c r="D54" s="25"/>
      <c r="E54" s="25"/>
      <c r="F54" s="17"/>
      <c r="G54" s="17"/>
      <c r="H54" s="17"/>
    </row>
    <row r="55" spans="1:8" x14ac:dyDescent="0.2">
      <c r="A55" s="21">
        <v>61003</v>
      </c>
      <c r="B55" s="23" t="s">
        <v>53</v>
      </c>
      <c r="C55" s="23"/>
      <c r="D55" s="25"/>
      <c r="E55" s="25"/>
      <c r="F55" s="17"/>
      <c r="G55" s="17"/>
      <c r="H55" s="17"/>
    </row>
    <row r="56" spans="1:8" x14ac:dyDescent="0.2">
      <c r="A56" s="21">
        <v>61004</v>
      </c>
      <c r="B56" s="23" t="s">
        <v>54</v>
      </c>
      <c r="C56" s="23"/>
      <c r="D56" s="25"/>
      <c r="E56" s="25"/>
      <c r="F56" s="17"/>
      <c r="G56" s="17"/>
      <c r="H56" s="17"/>
    </row>
    <row r="57" spans="1:8" x14ac:dyDescent="0.2">
      <c r="A57" s="21">
        <v>61005</v>
      </c>
      <c r="B57" s="23" t="s">
        <v>55</v>
      </c>
      <c r="C57" s="23"/>
      <c r="D57" s="25"/>
      <c r="E57" s="25"/>
      <c r="F57" s="17"/>
      <c r="G57" s="17"/>
      <c r="H57" s="17"/>
    </row>
    <row r="58" spans="1:8" x14ac:dyDescent="0.2">
      <c r="A58" s="21">
        <v>61006</v>
      </c>
      <c r="B58" s="23" t="s">
        <v>56</v>
      </c>
      <c r="C58" s="23"/>
      <c r="D58" s="25"/>
      <c r="E58" s="25"/>
      <c r="F58" s="17"/>
      <c r="G58" s="17"/>
      <c r="H58" s="17"/>
    </row>
    <row r="59" spans="1:8" x14ac:dyDescent="0.2">
      <c r="A59" s="21">
        <v>61007</v>
      </c>
      <c r="B59" s="23" t="s">
        <v>57</v>
      </c>
      <c r="C59" s="23"/>
      <c r="D59" s="25"/>
      <c r="E59" s="25"/>
      <c r="F59" s="17"/>
      <c r="G59" s="17"/>
      <c r="H59" s="17"/>
    </row>
    <row r="60" spans="1:8" x14ac:dyDescent="0.2">
      <c r="A60" s="21">
        <v>61008</v>
      </c>
      <c r="B60" s="23" t="s">
        <v>58</v>
      </c>
      <c r="C60" s="23"/>
      <c r="D60" s="25"/>
      <c r="E60" s="25"/>
      <c r="F60" s="17"/>
      <c r="G60" s="17"/>
      <c r="H60" s="17"/>
    </row>
    <row r="61" spans="1:8" x14ac:dyDescent="0.2">
      <c r="A61" s="21">
        <v>61009</v>
      </c>
      <c r="B61" s="23" t="s">
        <v>59</v>
      </c>
      <c r="C61" s="23"/>
      <c r="D61" s="25"/>
      <c r="E61" s="25"/>
      <c r="F61" s="17"/>
      <c r="G61" s="17"/>
      <c r="H61" s="17"/>
    </row>
    <row r="62" spans="1:8" x14ac:dyDescent="0.2">
      <c r="A62" s="21">
        <v>61010</v>
      </c>
      <c r="B62" s="23" t="s">
        <v>60</v>
      </c>
      <c r="C62" s="23"/>
      <c r="D62" s="25"/>
      <c r="E62" s="25"/>
      <c r="F62" s="17"/>
      <c r="G62" s="17"/>
      <c r="H62" s="17"/>
    </row>
    <row r="63" spans="1:8" x14ac:dyDescent="0.2">
      <c r="A63" s="21">
        <v>61011</v>
      </c>
      <c r="B63" s="23" t="s">
        <v>61</v>
      </c>
      <c r="C63" s="23"/>
      <c r="D63" s="25"/>
      <c r="E63" s="25"/>
      <c r="F63" s="17"/>
      <c r="G63" s="17"/>
      <c r="H63" s="17"/>
    </row>
    <row r="64" spans="1:8" x14ac:dyDescent="0.2">
      <c r="A64" s="21">
        <v>61099</v>
      </c>
      <c r="B64" s="23" t="s">
        <v>62</v>
      </c>
      <c r="C64" s="23"/>
      <c r="D64" s="25"/>
      <c r="E64" s="25"/>
      <c r="F64" s="17"/>
      <c r="G64" s="17"/>
      <c r="H64" s="17"/>
    </row>
    <row r="65" spans="1:8" x14ac:dyDescent="0.2">
      <c r="A65" s="18">
        <v>80000</v>
      </c>
      <c r="B65" s="27" t="s">
        <v>63</v>
      </c>
      <c r="C65" s="23"/>
      <c r="D65" s="25"/>
      <c r="E65" s="25"/>
      <c r="F65" s="17"/>
      <c r="G65" s="17"/>
      <c r="H65" s="17"/>
    </row>
    <row r="66" spans="1:8" x14ac:dyDescent="0.2">
      <c r="A66" s="21">
        <v>81001</v>
      </c>
      <c r="B66" s="23" t="s">
        <v>64</v>
      </c>
      <c r="C66" s="23"/>
      <c r="D66" s="25"/>
      <c r="E66" s="25"/>
      <c r="F66" s="17"/>
      <c r="G66" s="17"/>
      <c r="H66" s="17"/>
    </row>
    <row r="67" spans="1:8" x14ac:dyDescent="0.2">
      <c r="A67" s="21">
        <v>81002</v>
      </c>
      <c r="B67" s="23" t="s">
        <v>65</v>
      </c>
      <c r="C67" s="23"/>
      <c r="D67" s="25"/>
      <c r="E67" s="25"/>
      <c r="F67" s="17"/>
      <c r="G67" s="17"/>
      <c r="H67" s="17"/>
    </row>
    <row r="68" spans="1:8" x14ac:dyDescent="0.2">
      <c r="A68" s="18">
        <v>90000</v>
      </c>
      <c r="B68" s="27" t="s">
        <v>66</v>
      </c>
      <c r="C68" s="27"/>
      <c r="D68" s="28"/>
      <c r="E68" s="28"/>
      <c r="F68" s="17"/>
      <c r="G68" s="17"/>
      <c r="H68" s="17"/>
    </row>
    <row r="69" spans="1:8" x14ac:dyDescent="0.2">
      <c r="A69" s="21">
        <v>91001</v>
      </c>
      <c r="B69" s="23" t="s">
        <v>67</v>
      </c>
      <c r="C69" s="23"/>
      <c r="D69" s="25"/>
      <c r="E69" s="25"/>
      <c r="F69" s="17"/>
      <c r="G69" s="17"/>
      <c r="H69" s="17"/>
    </row>
    <row r="70" spans="1:8" x14ac:dyDescent="0.2">
      <c r="A70" s="21">
        <v>91002</v>
      </c>
      <c r="B70" s="23" t="s">
        <v>68</v>
      </c>
      <c r="C70" s="23"/>
      <c r="D70" s="25"/>
      <c r="E70" s="25"/>
      <c r="F70" s="17"/>
      <c r="G70" s="17"/>
      <c r="H70" s="17"/>
    </row>
    <row r="71" spans="1:8" x14ac:dyDescent="0.2">
      <c r="A71" s="38"/>
      <c r="B71" s="46" t="s">
        <v>69</v>
      </c>
      <c r="C71" s="38"/>
      <c r="D71" s="47">
        <v>357130000</v>
      </c>
      <c r="E71" s="47">
        <v>357130000</v>
      </c>
      <c r="F71" s="17"/>
      <c r="G71" s="17"/>
      <c r="H71" s="17"/>
    </row>
    <row r="72" spans="1:8" x14ac:dyDescent="0.2">
      <c r="A72" s="17"/>
      <c r="B72" s="17"/>
      <c r="C72" s="17"/>
      <c r="D72" s="17"/>
      <c r="E72" s="17"/>
      <c r="F72" s="17"/>
      <c r="G72" s="17"/>
      <c r="H72" s="17"/>
    </row>
    <row r="73" spans="1:8" x14ac:dyDescent="0.2">
      <c r="A73" s="157" t="s">
        <v>72</v>
      </c>
      <c r="B73" s="157"/>
      <c r="C73" s="157"/>
      <c r="D73" s="157"/>
      <c r="E73" s="157"/>
      <c r="F73" s="157"/>
      <c r="G73" s="157"/>
      <c r="H73" s="157"/>
    </row>
    <row r="74" spans="1:8" x14ac:dyDescent="0.2">
      <c r="A74" s="158" t="s">
        <v>127</v>
      </c>
      <c r="B74" s="158"/>
      <c r="C74" s="158"/>
      <c r="D74" s="158"/>
      <c r="E74" s="158"/>
      <c r="F74" s="158"/>
      <c r="G74" s="158"/>
      <c r="H74" s="158"/>
    </row>
    <row r="75" spans="1:8" x14ac:dyDescent="0.2">
      <c r="A75" s="41" t="s">
        <v>73</v>
      </c>
      <c r="B75" s="41" t="s">
        <v>74</v>
      </c>
      <c r="C75" s="41" t="s">
        <v>75</v>
      </c>
      <c r="D75" s="49" t="s">
        <v>76</v>
      </c>
      <c r="E75" s="49" t="s">
        <v>77</v>
      </c>
      <c r="F75" s="41" t="s">
        <v>78</v>
      </c>
      <c r="G75" s="41" t="s">
        <v>79</v>
      </c>
      <c r="H75" s="41" t="s">
        <v>80</v>
      </c>
    </row>
    <row r="76" spans="1:8" x14ac:dyDescent="0.2">
      <c r="A76" s="156" t="s">
        <v>100</v>
      </c>
      <c r="B76" s="156"/>
      <c r="C76" s="29"/>
      <c r="D76" s="29"/>
      <c r="E76" s="29"/>
      <c r="F76" s="29"/>
      <c r="G76" s="29"/>
      <c r="H76" s="29"/>
    </row>
    <row r="77" spans="1:8" x14ac:dyDescent="0.2">
      <c r="A77" s="30" t="s">
        <v>81</v>
      </c>
      <c r="B77" s="31" t="s">
        <v>82</v>
      </c>
      <c r="C77" s="30" t="s">
        <v>99</v>
      </c>
      <c r="D77" s="25">
        <v>1200000</v>
      </c>
      <c r="E77" s="25">
        <v>1500000</v>
      </c>
      <c r="F77" s="30">
        <v>15</v>
      </c>
      <c r="G77" s="32">
        <v>1200000</v>
      </c>
      <c r="H77" s="32">
        <v>18000000</v>
      </c>
    </row>
    <row r="78" spans="1:8" x14ac:dyDescent="0.2">
      <c r="A78" s="30" t="s">
        <v>83</v>
      </c>
      <c r="B78" s="31" t="s">
        <v>84</v>
      </c>
      <c r="C78" s="30" t="s">
        <v>99</v>
      </c>
      <c r="D78" s="25">
        <v>325000</v>
      </c>
      <c r="E78" s="25">
        <v>375000</v>
      </c>
      <c r="F78" s="30">
        <v>50</v>
      </c>
      <c r="G78" s="32">
        <v>325000</v>
      </c>
      <c r="H78" s="32">
        <v>16250000</v>
      </c>
    </row>
    <row r="79" spans="1:8" x14ac:dyDescent="0.2">
      <c r="A79" s="30" t="s">
        <v>85</v>
      </c>
      <c r="B79" s="31" t="s">
        <v>86</v>
      </c>
      <c r="C79" s="30" t="s">
        <v>99</v>
      </c>
      <c r="D79" s="25">
        <v>1400000</v>
      </c>
      <c r="E79" s="25">
        <v>1750000</v>
      </c>
      <c r="F79" s="30">
        <v>20</v>
      </c>
      <c r="G79" s="32">
        <v>1400000</v>
      </c>
      <c r="H79" s="32">
        <v>28000000</v>
      </c>
    </row>
    <row r="80" spans="1:8" x14ac:dyDescent="0.2">
      <c r="A80" s="30" t="s">
        <v>87</v>
      </c>
      <c r="B80" s="31" t="s">
        <v>88</v>
      </c>
      <c r="C80" s="30" t="s">
        <v>99</v>
      </c>
      <c r="D80" s="25">
        <v>1200000</v>
      </c>
      <c r="E80" s="25">
        <v>1500000</v>
      </c>
      <c r="F80" s="30">
        <v>15</v>
      </c>
      <c r="G80" s="32">
        <v>1200000</v>
      </c>
      <c r="H80" s="32">
        <v>18000000</v>
      </c>
    </row>
    <row r="81" spans="1:8" x14ac:dyDescent="0.2">
      <c r="A81" s="156" t="s">
        <v>101</v>
      </c>
      <c r="B81" s="156"/>
      <c r="C81" s="29"/>
      <c r="D81" s="29"/>
      <c r="E81" s="29"/>
      <c r="F81" s="29"/>
      <c r="G81" s="29"/>
      <c r="H81" s="29"/>
    </row>
    <row r="82" spans="1:8" x14ac:dyDescent="0.2">
      <c r="A82" s="30" t="s">
        <v>89</v>
      </c>
      <c r="B82" s="31" t="s">
        <v>90</v>
      </c>
      <c r="C82" s="30" t="s">
        <v>99</v>
      </c>
      <c r="D82" s="25">
        <v>2850000</v>
      </c>
      <c r="E82" s="25">
        <v>3375000</v>
      </c>
      <c r="F82" s="30">
        <v>8</v>
      </c>
      <c r="G82" s="32">
        <v>2850000</v>
      </c>
      <c r="H82" s="32">
        <v>22800000</v>
      </c>
    </row>
    <row r="83" spans="1:8" x14ac:dyDescent="0.2">
      <c r="A83" s="30" t="s">
        <v>91</v>
      </c>
      <c r="B83" s="31" t="s">
        <v>92</v>
      </c>
      <c r="C83" s="30" t="s">
        <v>99</v>
      </c>
      <c r="D83" s="25">
        <v>590000</v>
      </c>
      <c r="E83" s="25">
        <v>750000</v>
      </c>
      <c r="F83" s="30">
        <v>12</v>
      </c>
      <c r="G83" s="32">
        <v>590000</v>
      </c>
      <c r="H83" s="32">
        <v>7080000</v>
      </c>
    </row>
    <row r="84" spans="1:8" x14ac:dyDescent="0.2">
      <c r="A84" s="156" t="s">
        <v>102</v>
      </c>
      <c r="B84" s="156"/>
      <c r="C84" s="29"/>
      <c r="D84" s="29"/>
      <c r="E84" s="29"/>
      <c r="F84" s="29"/>
      <c r="G84" s="29"/>
      <c r="H84" s="29"/>
    </row>
    <row r="85" spans="1:8" x14ac:dyDescent="0.2">
      <c r="A85" s="30" t="s">
        <v>93</v>
      </c>
      <c r="B85" s="31" t="s">
        <v>94</v>
      </c>
      <c r="C85" s="30" t="s">
        <v>99</v>
      </c>
      <c r="D85" s="25">
        <v>1300000</v>
      </c>
      <c r="E85" s="25">
        <v>1650000</v>
      </c>
      <c r="F85" s="30">
        <v>15</v>
      </c>
      <c r="G85" s="32">
        <v>1300000</v>
      </c>
      <c r="H85" s="32">
        <v>19500000</v>
      </c>
    </row>
    <row r="86" spans="1:8" x14ac:dyDescent="0.2">
      <c r="A86" s="30" t="s">
        <v>95</v>
      </c>
      <c r="B86" s="31" t="s">
        <v>96</v>
      </c>
      <c r="C86" s="30" t="s">
        <v>99</v>
      </c>
      <c r="D86" s="25">
        <v>1750000</v>
      </c>
      <c r="E86" s="25">
        <v>2100000</v>
      </c>
      <c r="F86" s="30">
        <v>12</v>
      </c>
      <c r="G86" s="32">
        <v>1750000</v>
      </c>
      <c r="H86" s="32">
        <v>21000000</v>
      </c>
    </row>
    <row r="87" spans="1:8" x14ac:dyDescent="0.2">
      <c r="A87" s="30" t="s">
        <v>97</v>
      </c>
      <c r="B87" s="31" t="s">
        <v>98</v>
      </c>
      <c r="C87" s="30" t="s">
        <v>99</v>
      </c>
      <c r="D87" s="25">
        <v>1050000</v>
      </c>
      <c r="E87" s="25">
        <v>1450000</v>
      </c>
      <c r="F87" s="30">
        <v>15</v>
      </c>
      <c r="G87" s="32">
        <v>1050000</v>
      </c>
      <c r="H87" s="32">
        <v>15750000</v>
      </c>
    </row>
    <row r="88" spans="1:8" x14ac:dyDescent="0.2">
      <c r="A88" s="159" t="s">
        <v>69</v>
      </c>
      <c r="B88" s="159"/>
      <c r="C88" s="159"/>
      <c r="D88" s="159"/>
      <c r="E88" s="159"/>
      <c r="F88" s="39">
        <f>SUM(F77:F87)</f>
        <v>162</v>
      </c>
      <c r="G88" s="40"/>
      <c r="H88" s="45">
        <f>SUM(H77:H87)</f>
        <v>166380000</v>
      </c>
    </row>
    <row r="89" spans="1:8" x14ac:dyDescent="0.2">
      <c r="A89" s="17"/>
      <c r="B89" s="17"/>
      <c r="C89" s="17"/>
      <c r="D89" s="17"/>
      <c r="E89" s="17"/>
      <c r="F89" s="17"/>
      <c r="G89" s="17"/>
      <c r="H89" s="17"/>
    </row>
    <row r="90" spans="1:8" x14ac:dyDescent="0.2">
      <c r="A90" s="157" t="s">
        <v>103</v>
      </c>
      <c r="B90" s="157"/>
      <c r="C90" s="157"/>
      <c r="D90" s="157"/>
      <c r="E90" s="157"/>
      <c r="F90" s="157"/>
      <c r="G90" s="157"/>
      <c r="H90" s="17"/>
    </row>
    <row r="91" spans="1:8" x14ac:dyDescent="0.2">
      <c r="A91" s="158" t="s">
        <v>104</v>
      </c>
      <c r="B91" s="158"/>
      <c r="C91" s="158"/>
      <c r="D91" s="158"/>
      <c r="E91" s="158"/>
      <c r="F91" s="158"/>
      <c r="G91" s="158"/>
      <c r="H91" s="17"/>
    </row>
    <row r="92" spans="1:8" x14ac:dyDescent="0.2">
      <c r="A92" s="41" t="s">
        <v>105</v>
      </c>
      <c r="B92" s="41" t="s">
        <v>106</v>
      </c>
      <c r="C92" s="41" t="s">
        <v>107</v>
      </c>
      <c r="D92" s="42" t="s">
        <v>108</v>
      </c>
      <c r="E92" s="165" t="s">
        <v>109</v>
      </c>
      <c r="F92" s="165"/>
      <c r="G92" s="165"/>
      <c r="H92" s="17"/>
    </row>
    <row r="93" spans="1:8" x14ac:dyDescent="0.2">
      <c r="A93" s="30" t="s">
        <v>110</v>
      </c>
      <c r="B93" s="31" t="s">
        <v>111</v>
      </c>
      <c r="C93" s="31" t="s">
        <v>112</v>
      </c>
      <c r="D93" s="25">
        <v>10000000</v>
      </c>
      <c r="E93" s="164" t="s">
        <v>113</v>
      </c>
      <c r="F93" s="164"/>
      <c r="G93" s="164"/>
      <c r="H93" s="17"/>
    </row>
    <row r="94" spans="1:8" x14ac:dyDescent="0.2">
      <c r="A94" s="30" t="s">
        <v>114</v>
      </c>
      <c r="B94" s="31" t="s">
        <v>115</v>
      </c>
      <c r="C94" s="31" t="s">
        <v>116</v>
      </c>
      <c r="D94" s="25">
        <v>15000000</v>
      </c>
      <c r="E94" s="164" t="s">
        <v>113</v>
      </c>
      <c r="F94" s="164"/>
      <c r="G94" s="164"/>
      <c r="H94" s="17"/>
    </row>
    <row r="95" spans="1:8" x14ac:dyDescent="0.2">
      <c r="A95" s="30" t="s">
        <v>117</v>
      </c>
      <c r="B95" s="31" t="s">
        <v>118</v>
      </c>
      <c r="C95" s="31" t="s">
        <v>119</v>
      </c>
      <c r="D95" s="25">
        <v>7500000</v>
      </c>
      <c r="E95" s="164" t="s">
        <v>120</v>
      </c>
      <c r="F95" s="164"/>
      <c r="G95" s="164"/>
      <c r="H95" s="17"/>
    </row>
    <row r="96" spans="1:8" x14ac:dyDescent="0.2">
      <c r="A96" s="30" t="s">
        <v>121</v>
      </c>
      <c r="B96" s="31" t="s">
        <v>122</v>
      </c>
      <c r="C96" s="31" t="s">
        <v>123</v>
      </c>
      <c r="D96" s="25">
        <v>15000000</v>
      </c>
      <c r="E96" s="164" t="s">
        <v>120</v>
      </c>
      <c r="F96" s="164"/>
      <c r="G96" s="164"/>
      <c r="H96" s="17"/>
    </row>
    <row r="97" spans="1:8" x14ac:dyDescent="0.2">
      <c r="A97" s="30" t="s">
        <v>124</v>
      </c>
      <c r="B97" s="31" t="s">
        <v>125</v>
      </c>
      <c r="C97" s="31" t="s">
        <v>126</v>
      </c>
      <c r="D97" s="34"/>
      <c r="E97" s="161"/>
      <c r="F97" s="161"/>
      <c r="G97" s="161"/>
      <c r="H97" s="17"/>
    </row>
    <row r="98" spans="1:8" x14ac:dyDescent="0.2">
      <c r="A98" s="163" t="s">
        <v>69</v>
      </c>
      <c r="B98" s="163"/>
      <c r="C98" s="163"/>
      <c r="D98" s="48">
        <f>SUM(D93:D97)</f>
        <v>47500000</v>
      </c>
      <c r="E98" s="162"/>
      <c r="F98" s="162"/>
      <c r="G98" s="162"/>
      <c r="H98" s="17"/>
    </row>
    <row r="99" spans="1:8" x14ac:dyDescent="0.2">
      <c r="A99" s="17"/>
      <c r="B99" s="17"/>
      <c r="C99" s="17"/>
      <c r="D99" s="17"/>
      <c r="E99" s="17"/>
      <c r="F99" s="17"/>
      <c r="G99" s="17"/>
      <c r="H99" s="17"/>
    </row>
    <row r="100" spans="1:8" x14ac:dyDescent="0.2">
      <c r="A100" s="157" t="s">
        <v>70</v>
      </c>
      <c r="B100" s="157"/>
      <c r="C100" s="157"/>
      <c r="D100" s="157"/>
      <c r="E100" s="157"/>
      <c r="F100" s="157"/>
      <c r="G100" s="157"/>
      <c r="H100" s="17"/>
    </row>
    <row r="101" spans="1:8" x14ac:dyDescent="0.2">
      <c r="A101" s="158" t="s">
        <v>128</v>
      </c>
      <c r="B101" s="158"/>
      <c r="C101" s="158"/>
      <c r="D101" s="158"/>
      <c r="E101" s="158"/>
      <c r="F101" s="158"/>
      <c r="G101" s="158"/>
      <c r="H101" s="17"/>
    </row>
    <row r="102" spans="1:8" x14ac:dyDescent="0.2">
      <c r="A102" s="43" t="s">
        <v>129</v>
      </c>
      <c r="B102" s="43" t="s">
        <v>130</v>
      </c>
      <c r="C102" s="43" t="s">
        <v>107</v>
      </c>
      <c r="D102" s="44" t="s">
        <v>108</v>
      </c>
      <c r="E102" s="160" t="s">
        <v>109</v>
      </c>
      <c r="F102" s="160"/>
      <c r="G102" s="160"/>
      <c r="H102" s="17"/>
    </row>
    <row r="103" spans="1:8" x14ac:dyDescent="0.2">
      <c r="A103" s="30" t="s">
        <v>131</v>
      </c>
      <c r="B103" s="31" t="s">
        <v>132</v>
      </c>
      <c r="C103" s="31" t="s">
        <v>133</v>
      </c>
      <c r="D103" s="25">
        <v>24000000</v>
      </c>
      <c r="E103" s="167" t="s">
        <v>134</v>
      </c>
      <c r="F103" s="167"/>
      <c r="G103" s="167"/>
      <c r="H103" s="17"/>
    </row>
    <row r="104" spans="1:8" x14ac:dyDescent="0.2">
      <c r="A104" s="30" t="s">
        <v>135</v>
      </c>
      <c r="B104" s="31" t="s">
        <v>136</v>
      </c>
      <c r="C104" s="31" t="s">
        <v>137</v>
      </c>
      <c r="D104" s="25">
        <v>16000000</v>
      </c>
      <c r="E104" s="167" t="s">
        <v>134</v>
      </c>
      <c r="F104" s="167"/>
      <c r="G104" s="167"/>
      <c r="H104" s="17"/>
    </row>
    <row r="105" spans="1:8" x14ac:dyDescent="0.2">
      <c r="A105" s="30" t="s">
        <v>138</v>
      </c>
      <c r="B105" s="31" t="s">
        <v>139</v>
      </c>
      <c r="C105" s="31" t="s">
        <v>140</v>
      </c>
      <c r="D105" s="25">
        <v>35000000</v>
      </c>
      <c r="E105" s="167" t="s">
        <v>134</v>
      </c>
      <c r="F105" s="167"/>
      <c r="G105" s="167"/>
      <c r="H105" s="17"/>
    </row>
    <row r="106" spans="1:8" x14ac:dyDescent="0.2">
      <c r="A106" s="159" t="s">
        <v>69</v>
      </c>
      <c r="B106" s="159"/>
      <c r="C106" s="159"/>
      <c r="D106" s="45">
        <f>SUM(D103:D105)</f>
        <v>75000000</v>
      </c>
      <c r="E106" s="166"/>
      <c r="F106" s="166"/>
      <c r="G106" s="166"/>
      <c r="H106" s="17"/>
    </row>
    <row r="107" spans="1:8" x14ac:dyDescent="0.2">
      <c r="A107" s="17"/>
      <c r="B107" s="17"/>
      <c r="C107" s="17"/>
      <c r="D107" s="17"/>
      <c r="E107" s="17"/>
      <c r="F107" s="17"/>
      <c r="G107" s="17"/>
      <c r="H107" s="17"/>
    </row>
    <row r="108" spans="1:8" x14ac:dyDescent="0.2">
      <c r="A108" s="17"/>
      <c r="B108" s="17"/>
      <c r="C108" s="17"/>
      <c r="D108" s="17"/>
      <c r="E108" s="17"/>
      <c r="F108" s="17"/>
      <c r="G108" s="17"/>
      <c r="H108" s="17"/>
    </row>
    <row r="109" spans="1:8" x14ac:dyDescent="0.2">
      <c r="A109" s="17"/>
      <c r="B109" s="17"/>
      <c r="C109" s="17"/>
      <c r="D109" s="17"/>
      <c r="E109" s="17"/>
      <c r="F109" s="17"/>
      <c r="G109" s="17"/>
      <c r="H109" s="17"/>
    </row>
    <row r="110" spans="1:8" x14ac:dyDescent="0.2">
      <c r="A110" s="17"/>
      <c r="B110" s="17"/>
      <c r="C110" s="17"/>
      <c r="D110" s="17"/>
      <c r="E110" s="17"/>
      <c r="F110" s="17"/>
      <c r="G110" s="17"/>
      <c r="H110" s="17"/>
    </row>
    <row r="111" spans="1:8" x14ac:dyDescent="0.2">
      <c r="A111" s="17"/>
      <c r="B111" s="17"/>
      <c r="C111" s="17"/>
      <c r="D111" s="17"/>
      <c r="E111" s="17"/>
      <c r="F111" s="17"/>
      <c r="G111" s="17"/>
      <c r="H111" s="17"/>
    </row>
    <row r="112" spans="1:8" x14ac:dyDescent="0.2">
      <c r="A112" s="17"/>
      <c r="B112" s="17"/>
      <c r="C112" s="17"/>
      <c r="D112" s="17"/>
      <c r="E112" s="17"/>
      <c r="F112" s="17"/>
      <c r="G112" s="17"/>
      <c r="H112" s="17"/>
    </row>
    <row r="113" spans="1:8" x14ac:dyDescent="0.2">
      <c r="A113" s="17"/>
      <c r="B113" s="17"/>
      <c r="C113" s="17"/>
      <c r="D113" s="17"/>
      <c r="E113" s="17"/>
      <c r="F113" s="17"/>
      <c r="G113" s="17"/>
      <c r="H113" s="17"/>
    </row>
    <row r="114" spans="1:8" x14ac:dyDescent="0.2">
      <c r="A114" s="17"/>
      <c r="B114" s="17"/>
      <c r="C114" s="17"/>
      <c r="D114" s="17"/>
      <c r="E114" s="17"/>
      <c r="F114" s="17"/>
      <c r="G114" s="17"/>
      <c r="H114" s="17"/>
    </row>
    <row r="115" spans="1:8" x14ac:dyDescent="0.2">
      <c r="A115" s="17"/>
      <c r="B115" s="17"/>
      <c r="C115" s="17"/>
      <c r="D115" s="17"/>
      <c r="E115" s="17"/>
      <c r="F115" s="17"/>
      <c r="G115" s="17"/>
      <c r="H115" s="17"/>
    </row>
    <row r="116" spans="1:8" x14ac:dyDescent="0.2">
      <c r="A116" s="17"/>
      <c r="B116" s="17"/>
      <c r="C116" s="17"/>
      <c r="D116" s="17"/>
      <c r="E116" s="17"/>
      <c r="F116" s="17"/>
      <c r="G116" s="17"/>
      <c r="H116" s="17"/>
    </row>
    <row r="117" spans="1:8" x14ac:dyDescent="0.2">
      <c r="A117" s="17"/>
      <c r="B117" s="17"/>
      <c r="C117" s="17"/>
      <c r="D117" s="17"/>
      <c r="E117" s="17"/>
      <c r="F117" s="17"/>
      <c r="G117" s="17"/>
      <c r="H117" s="17"/>
    </row>
    <row r="118" spans="1:8" x14ac:dyDescent="0.2">
      <c r="A118" s="17"/>
      <c r="B118" s="17"/>
      <c r="C118" s="17"/>
      <c r="D118" s="17"/>
      <c r="E118" s="17"/>
      <c r="F118" s="17"/>
      <c r="G118" s="17"/>
      <c r="H118" s="17"/>
    </row>
    <row r="119" spans="1:8" x14ac:dyDescent="0.2">
      <c r="A119" s="17"/>
      <c r="B119" s="17"/>
      <c r="C119" s="17"/>
      <c r="D119" s="17"/>
      <c r="E119" s="17"/>
      <c r="F119" s="17"/>
      <c r="G119" s="17"/>
      <c r="H119" s="17"/>
    </row>
    <row r="120" spans="1:8" x14ac:dyDescent="0.2">
      <c r="A120" s="17"/>
      <c r="B120" s="17"/>
      <c r="C120" s="17"/>
      <c r="D120" s="17"/>
      <c r="E120" s="17"/>
      <c r="F120" s="17"/>
      <c r="G120" s="17"/>
      <c r="H120" s="17"/>
    </row>
    <row r="121" spans="1:8" x14ac:dyDescent="0.2">
      <c r="A121" s="17"/>
      <c r="B121" s="17"/>
      <c r="C121" s="17"/>
      <c r="D121" s="17"/>
      <c r="E121" s="17"/>
      <c r="F121" s="17"/>
      <c r="G121" s="17"/>
      <c r="H121" s="17"/>
    </row>
    <row r="122" spans="1:8" x14ac:dyDescent="0.2">
      <c r="A122" s="17"/>
      <c r="B122" s="17"/>
      <c r="C122" s="17"/>
      <c r="D122" s="17"/>
      <c r="E122" s="17"/>
      <c r="F122" s="17"/>
      <c r="G122" s="17"/>
      <c r="H122" s="17"/>
    </row>
    <row r="123" spans="1:8" x14ac:dyDescent="0.2">
      <c r="A123" s="17"/>
      <c r="B123" s="17"/>
      <c r="C123" s="17"/>
      <c r="D123" s="17"/>
      <c r="E123" s="17"/>
      <c r="F123" s="17"/>
      <c r="G123" s="17"/>
      <c r="H123" s="17"/>
    </row>
    <row r="124" spans="1:8" x14ac:dyDescent="0.2">
      <c r="A124" s="17"/>
      <c r="B124" s="17"/>
      <c r="C124" s="17"/>
      <c r="D124" s="17"/>
      <c r="E124" s="17"/>
      <c r="F124" s="17"/>
      <c r="G124" s="17"/>
      <c r="H124" s="17"/>
    </row>
    <row r="125" spans="1:8" x14ac:dyDescent="0.2">
      <c r="A125" s="17"/>
      <c r="B125" s="17"/>
      <c r="C125" s="17"/>
      <c r="D125" s="17"/>
      <c r="E125" s="17"/>
      <c r="F125" s="17"/>
      <c r="G125" s="17"/>
      <c r="H125" s="17"/>
    </row>
    <row r="126" spans="1:8" x14ac:dyDescent="0.2">
      <c r="A126" s="17"/>
      <c r="B126" s="17"/>
      <c r="C126" s="17"/>
      <c r="D126" s="17"/>
      <c r="E126" s="17"/>
      <c r="F126" s="17"/>
      <c r="G126" s="17"/>
      <c r="H126" s="17"/>
    </row>
    <row r="127" spans="1:8" x14ac:dyDescent="0.2">
      <c r="A127" s="17"/>
      <c r="B127" s="17"/>
      <c r="C127" s="17"/>
      <c r="D127" s="17"/>
      <c r="E127" s="17"/>
      <c r="F127" s="17"/>
      <c r="G127" s="17"/>
      <c r="H127" s="17"/>
    </row>
    <row r="128" spans="1:8" x14ac:dyDescent="0.2">
      <c r="A128" s="17"/>
      <c r="B128" s="17"/>
      <c r="C128" s="17"/>
      <c r="D128" s="17"/>
      <c r="E128" s="17"/>
      <c r="F128" s="17"/>
      <c r="G128" s="17"/>
      <c r="H128" s="17"/>
    </row>
    <row r="129" spans="1:8" x14ac:dyDescent="0.2">
      <c r="A129" s="17"/>
      <c r="B129" s="17"/>
      <c r="C129" s="17"/>
      <c r="D129" s="17"/>
      <c r="E129" s="17"/>
      <c r="F129" s="17"/>
      <c r="G129" s="17"/>
      <c r="H129" s="17"/>
    </row>
    <row r="130" spans="1:8" x14ac:dyDescent="0.2">
      <c r="A130" s="17"/>
      <c r="B130" s="17"/>
      <c r="C130" s="17"/>
      <c r="D130" s="17"/>
      <c r="E130" s="17"/>
      <c r="F130" s="17"/>
      <c r="G130" s="17"/>
      <c r="H130" s="17"/>
    </row>
    <row r="131" spans="1:8" x14ac:dyDescent="0.2">
      <c r="A131" s="17"/>
      <c r="B131" s="17"/>
      <c r="C131" s="17"/>
      <c r="D131" s="17"/>
      <c r="E131" s="17"/>
      <c r="F131" s="17"/>
      <c r="G131" s="17"/>
      <c r="H131" s="17"/>
    </row>
    <row r="132" spans="1:8" x14ac:dyDescent="0.2">
      <c r="A132" s="17"/>
      <c r="B132" s="17"/>
      <c r="C132" s="17"/>
      <c r="D132" s="17"/>
      <c r="E132" s="17"/>
      <c r="F132" s="17"/>
      <c r="G132" s="17"/>
      <c r="H132" s="17"/>
    </row>
    <row r="133" spans="1:8" x14ac:dyDescent="0.2">
      <c r="A133" s="17"/>
      <c r="B133" s="17"/>
      <c r="C133" s="17"/>
      <c r="D133" s="17"/>
      <c r="E133" s="17"/>
      <c r="F133" s="17"/>
      <c r="G133" s="17"/>
      <c r="H133" s="17"/>
    </row>
    <row r="134" spans="1:8" x14ac:dyDescent="0.2">
      <c r="A134" s="17"/>
      <c r="B134" s="17"/>
      <c r="C134" s="17"/>
      <c r="D134" s="17"/>
      <c r="E134" s="17"/>
      <c r="F134" s="17"/>
      <c r="G134" s="17"/>
      <c r="H134" s="17"/>
    </row>
    <row r="135" spans="1:8" x14ac:dyDescent="0.2">
      <c r="A135" s="17"/>
      <c r="B135" s="17"/>
      <c r="C135" s="17"/>
      <c r="D135" s="17"/>
      <c r="E135" s="17"/>
      <c r="F135" s="17"/>
      <c r="G135" s="17"/>
      <c r="H135" s="17"/>
    </row>
    <row r="136" spans="1:8" x14ac:dyDescent="0.2">
      <c r="A136" s="17"/>
      <c r="B136" s="17"/>
      <c r="C136" s="17"/>
      <c r="D136" s="17"/>
      <c r="E136" s="17"/>
      <c r="F136" s="17"/>
      <c r="G136" s="17"/>
      <c r="H136" s="17"/>
    </row>
    <row r="137" spans="1:8" x14ac:dyDescent="0.2">
      <c r="A137" s="17"/>
      <c r="B137" s="17"/>
      <c r="C137" s="17"/>
      <c r="D137" s="17"/>
      <c r="E137" s="17"/>
      <c r="F137" s="17"/>
      <c r="G137" s="17"/>
      <c r="H137" s="17"/>
    </row>
    <row r="138" spans="1:8" x14ac:dyDescent="0.2">
      <c r="A138" s="17"/>
      <c r="B138" s="17"/>
      <c r="C138" s="17"/>
      <c r="D138" s="17"/>
      <c r="E138" s="17"/>
      <c r="F138" s="17"/>
      <c r="G138" s="17"/>
      <c r="H138" s="17"/>
    </row>
    <row r="139" spans="1:8" x14ac:dyDescent="0.2">
      <c r="A139" s="17"/>
      <c r="B139" s="17"/>
      <c r="C139" s="17"/>
      <c r="D139" s="17"/>
      <c r="E139" s="17"/>
      <c r="F139" s="17"/>
      <c r="G139" s="17"/>
      <c r="H139" s="17"/>
    </row>
    <row r="140" spans="1:8" x14ac:dyDescent="0.2">
      <c r="A140" s="17"/>
      <c r="B140" s="17"/>
      <c r="C140" s="17"/>
      <c r="D140" s="17"/>
      <c r="E140" s="17"/>
      <c r="F140" s="17"/>
      <c r="G140" s="17"/>
      <c r="H140" s="17"/>
    </row>
    <row r="141" spans="1:8" x14ac:dyDescent="0.2">
      <c r="A141" s="17"/>
      <c r="B141" s="17"/>
      <c r="C141" s="17"/>
      <c r="D141" s="17"/>
      <c r="E141" s="17"/>
      <c r="F141" s="17"/>
      <c r="G141" s="17"/>
      <c r="H141" s="17"/>
    </row>
    <row r="142" spans="1:8" x14ac:dyDescent="0.2">
      <c r="A142" s="17"/>
      <c r="B142" s="17"/>
      <c r="C142" s="17"/>
      <c r="D142" s="17"/>
      <c r="E142" s="17"/>
      <c r="F142" s="17"/>
      <c r="G142" s="17"/>
      <c r="H142" s="17"/>
    </row>
    <row r="143" spans="1:8" x14ac:dyDescent="0.2">
      <c r="A143" s="17"/>
      <c r="B143" s="17"/>
      <c r="C143" s="17"/>
      <c r="D143" s="17"/>
      <c r="E143" s="17"/>
      <c r="F143" s="17"/>
      <c r="G143" s="17"/>
      <c r="H143" s="17"/>
    </row>
    <row r="144" spans="1:8" x14ac:dyDescent="0.2">
      <c r="A144" s="17"/>
      <c r="B144" s="17"/>
      <c r="C144" s="17"/>
      <c r="D144" s="17"/>
      <c r="E144" s="17"/>
      <c r="F144" s="17"/>
      <c r="G144" s="17"/>
      <c r="H144" s="17"/>
    </row>
    <row r="145" spans="1:8" x14ac:dyDescent="0.2">
      <c r="A145" s="17"/>
      <c r="B145" s="17"/>
      <c r="C145" s="17"/>
      <c r="D145" s="17"/>
      <c r="E145" s="17"/>
      <c r="F145" s="17"/>
      <c r="G145" s="17"/>
      <c r="H145" s="17"/>
    </row>
    <row r="146" spans="1:8" x14ac:dyDescent="0.2">
      <c r="A146" s="17"/>
      <c r="B146" s="17"/>
      <c r="C146" s="17"/>
      <c r="D146" s="17"/>
      <c r="E146" s="17"/>
      <c r="F146" s="17"/>
      <c r="G146" s="17"/>
      <c r="H146" s="17"/>
    </row>
    <row r="147" spans="1:8" x14ac:dyDescent="0.2">
      <c r="A147" s="17"/>
      <c r="B147" s="17"/>
      <c r="C147" s="17"/>
      <c r="D147" s="17"/>
      <c r="E147" s="17"/>
      <c r="F147" s="17"/>
      <c r="G147" s="17"/>
      <c r="H147" s="17"/>
    </row>
    <row r="148" spans="1:8" x14ac:dyDescent="0.2">
      <c r="A148" s="17"/>
      <c r="B148" s="17"/>
      <c r="C148" s="17"/>
      <c r="D148" s="17"/>
      <c r="E148" s="17"/>
      <c r="F148" s="17"/>
      <c r="G148" s="17"/>
      <c r="H148" s="17"/>
    </row>
    <row r="149" spans="1:8" x14ac:dyDescent="0.2">
      <c r="A149" s="17"/>
      <c r="B149" s="17"/>
      <c r="C149" s="17"/>
      <c r="D149" s="17"/>
      <c r="E149" s="17"/>
      <c r="F149" s="17"/>
      <c r="G149" s="17"/>
      <c r="H149" s="17"/>
    </row>
    <row r="150" spans="1:8" x14ac:dyDescent="0.2">
      <c r="A150" s="17"/>
      <c r="B150" s="17"/>
      <c r="C150" s="17"/>
      <c r="D150" s="17"/>
      <c r="E150" s="17"/>
      <c r="F150" s="17"/>
      <c r="G150" s="17"/>
      <c r="H150" s="17"/>
    </row>
    <row r="151" spans="1:8" x14ac:dyDescent="0.2">
      <c r="A151" s="17"/>
      <c r="B151" s="17"/>
      <c r="C151" s="17"/>
      <c r="D151" s="17"/>
      <c r="E151" s="17"/>
      <c r="F151" s="17"/>
      <c r="G151" s="17"/>
      <c r="H151" s="17"/>
    </row>
    <row r="152" spans="1:8" x14ac:dyDescent="0.2">
      <c r="A152" s="17"/>
      <c r="B152" s="17"/>
      <c r="C152" s="17"/>
      <c r="D152" s="17"/>
      <c r="E152" s="17"/>
      <c r="F152" s="17"/>
      <c r="G152" s="17"/>
      <c r="H152" s="17"/>
    </row>
    <row r="153" spans="1:8" x14ac:dyDescent="0.2">
      <c r="A153" s="17"/>
      <c r="B153" s="17"/>
      <c r="C153" s="17"/>
      <c r="D153" s="17"/>
      <c r="E153" s="17"/>
      <c r="F153" s="17"/>
      <c r="G153" s="17"/>
      <c r="H153" s="17"/>
    </row>
    <row r="154" spans="1:8" x14ac:dyDescent="0.2">
      <c r="A154" s="17"/>
      <c r="B154" s="17"/>
      <c r="C154" s="17"/>
      <c r="D154" s="17"/>
      <c r="E154" s="17"/>
      <c r="F154" s="17"/>
      <c r="G154" s="17"/>
      <c r="H154" s="17"/>
    </row>
    <row r="155" spans="1:8" x14ac:dyDescent="0.2">
      <c r="A155" s="17"/>
      <c r="B155" s="17"/>
      <c r="C155" s="17"/>
      <c r="D155" s="17"/>
      <c r="E155" s="17"/>
      <c r="F155" s="17"/>
      <c r="G155" s="17"/>
      <c r="H155" s="17"/>
    </row>
    <row r="156" spans="1:8" x14ac:dyDescent="0.2">
      <c r="A156" s="17"/>
      <c r="B156" s="17"/>
      <c r="C156" s="17"/>
      <c r="D156" s="17"/>
      <c r="E156" s="17"/>
      <c r="F156" s="17"/>
      <c r="G156" s="17"/>
      <c r="H156" s="17"/>
    </row>
    <row r="157" spans="1:8" x14ac:dyDescent="0.2">
      <c r="A157" s="17"/>
      <c r="B157" s="17"/>
      <c r="C157" s="17"/>
      <c r="D157" s="17"/>
      <c r="E157" s="17"/>
      <c r="F157" s="17"/>
      <c r="G157" s="17"/>
      <c r="H157" s="17"/>
    </row>
    <row r="158" spans="1:8" x14ac:dyDescent="0.2">
      <c r="A158" s="17"/>
      <c r="B158" s="17"/>
      <c r="C158" s="17"/>
      <c r="D158" s="17"/>
      <c r="E158" s="17"/>
      <c r="F158" s="17"/>
      <c r="G158" s="17"/>
      <c r="H158" s="17"/>
    </row>
    <row r="159" spans="1:8" x14ac:dyDescent="0.2">
      <c r="A159" s="17"/>
      <c r="B159" s="17"/>
      <c r="C159" s="17"/>
      <c r="D159" s="17"/>
      <c r="E159" s="17"/>
      <c r="F159" s="17"/>
      <c r="G159" s="17"/>
      <c r="H159" s="17"/>
    </row>
    <row r="160" spans="1:8" x14ac:dyDescent="0.2">
      <c r="A160" s="17"/>
      <c r="B160" s="17"/>
      <c r="C160" s="17"/>
      <c r="D160" s="17"/>
      <c r="E160" s="17"/>
      <c r="F160" s="17"/>
      <c r="G160" s="17"/>
      <c r="H160" s="17"/>
    </row>
    <row r="161" spans="1:8" x14ac:dyDescent="0.2">
      <c r="A161" s="17"/>
      <c r="B161" s="17"/>
      <c r="C161" s="17"/>
      <c r="D161" s="17"/>
      <c r="E161" s="17"/>
      <c r="F161" s="17"/>
      <c r="G161" s="17"/>
      <c r="H161" s="17"/>
    </row>
    <row r="162" spans="1:8" x14ac:dyDescent="0.2">
      <c r="A162" s="17"/>
      <c r="B162" s="17"/>
      <c r="C162" s="17"/>
      <c r="D162" s="17"/>
      <c r="E162" s="17"/>
      <c r="F162" s="17"/>
      <c r="G162" s="17"/>
      <c r="H162" s="17"/>
    </row>
    <row r="163" spans="1:8" x14ac:dyDescent="0.2">
      <c r="A163" s="17"/>
      <c r="B163" s="17"/>
      <c r="C163" s="17"/>
      <c r="D163" s="17"/>
      <c r="E163" s="17"/>
      <c r="F163" s="17"/>
      <c r="G163" s="17"/>
      <c r="H163" s="17"/>
    </row>
    <row r="164" spans="1:8" x14ac:dyDescent="0.2">
      <c r="A164" s="17"/>
      <c r="B164" s="17"/>
      <c r="C164" s="17"/>
      <c r="D164" s="17"/>
      <c r="E164" s="17"/>
      <c r="F164" s="17"/>
      <c r="G164" s="17"/>
      <c r="H164" s="17"/>
    </row>
    <row r="165" spans="1:8" x14ac:dyDescent="0.2">
      <c r="A165" s="17"/>
      <c r="B165" s="17"/>
      <c r="C165" s="17"/>
      <c r="D165" s="17"/>
      <c r="E165" s="17"/>
      <c r="F165" s="17"/>
      <c r="G165" s="17"/>
      <c r="H165" s="17"/>
    </row>
    <row r="166" spans="1:8" x14ac:dyDescent="0.2">
      <c r="A166" s="17"/>
      <c r="B166" s="17"/>
      <c r="C166" s="17"/>
      <c r="D166" s="17"/>
      <c r="E166" s="17"/>
      <c r="F166" s="17"/>
      <c r="G166" s="17"/>
      <c r="H166" s="17"/>
    </row>
    <row r="167" spans="1:8" x14ac:dyDescent="0.2">
      <c r="A167" s="17"/>
      <c r="B167" s="17"/>
      <c r="C167" s="17"/>
      <c r="D167" s="17"/>
      <c r="E167" s="17"/>
      <c r="F167" s="17"/>
      <c r="G167" s="17"/>
      <c r="H167" s="17"/>
    </row>
    <row r="168" spans="1:8" x14ac:dyDescent="0.2">
      <c r="A168" s="17"/>
      <c r="B168" s="17"/>
      <c r="C168" s="17"/>
      <c r="D168" s="17"/>
      <c r="E168" s="17"/>
      <c r="F168" s="17"/>
      <c r="G168" s="17"/>
      <c r="H168" s="17"/>
    </row>
    <row r="169" spans="1:8" x14ac:dyDescent="0.2">
      <c r="A169" s="17"/>
      <c r="B169" s="17"/>
      <c r="C169" s="17"/>
      <c r="D169" s="17"/>
      <c r="E169" s="17"/>
      <c r="F169" s="17"/>
      <c r="G169" s="17"/>
      <c r="H169" s="17"/>
    </row>
    <row r="170" spans="1:8" x14ac:dyDescent="0.2">
      <c r="A170" s="17"/>
      <c r="B170" s="17"/>
      <c r="C170" s="17"/>
      <c r="D170" s="17"/>
      <c r="E170" s="17"/>
      <c r="F170" s="17"/>
      <c r="G170" s="17"/>
      <c r="H170" s="17"/>
    </row>
    <row r="171" spans="1:8" x14ac:dyDescent="0.2">
      <c r="A171" s="17"/>
      <c r="B171" s="17"/>
      <c r="C171" s="17"/>
      <c r="D171" s="17"/>
      <c r="E171" s="17"/>
      <c r="F171" s="17"/>
      <c r="G171" s="17"/>
      <c r="H171" s="17"/>
    </row>
    <row r="172" spans="1:8" x14ac:dyDescent="0.2">
      <c r="A172" s="17"/>
      <c r="B172" s="17"/>
      <c r="C172" s="17"/>
      <c r="D172" s="17"/>
      <c r="E172" s="17"/>
      <c r="F172" s="17"/>
      <c r="G172" s="17"/>
      <c r="H172" s="17"/>
    </row>
    <row r="173" spans="1:8" x14ac:dyDescent="0.2">
      <c r="A173" s="17"/>
      <c r="B173" s="17"/>
      <c r="C173" s="17"/>
      <c r="D173" s="17"/>
      <c r="E173" s="17"/>
      <c r="F173" s="17"/>
      <c r="G173" s="17"/>
      <c r="H173" s="17"/>
    </row>
    <row r="174" spans="1:8" x14ac:dyDescent="0.2">
      <c r="A174" s="17"/>
      <c r="B174" s="17"/>
      <c r="C174" s="17"/>
      <c r="D174" s="17"/>
      <c r="E174" s="17"/>
      <c r="F174" s="17"/>
      <c r="G174" s="17"/>
      <c r="H174" s="17"/>
    </row>
    <row r="175" spans="1:8" x14ac:dyDescent="0.2">
      <c r="A175" s="17"/>
      <c r="B175" s="17"/>
      <c r="C175" s="17"/>
      <c r="D175" s="17"/>
      <c r="E175" s="17"/>
      <c r="F175" s="17"/>
      <c r="G175" s="17"/>
      <c r="H175" s="17"/>
    </row>
    <row r="176" spans="1:8" x14ac:dyDescent="0.2">
      <c r="A176" s="17"/>
      <c r="B176" s="17"/>
      <c r="C176" s="17"/>
      <c r="D176" s="17"/>
      <c r="E176" s="17"/>
      <c r="F176" s="17"/>
      <c r="G176" s="17"/>
      <c r="H176" s="17"/>
    </row>
    <row r="177" spans="1:8" x14ac:dyDescent="0.2">
      <c r="A177" s="17"/>
      <c r="B177" s="17"/>
      <c r="C177" s="17"/>
      <c r="D177" s="17"/>
      <c r="E177" s="17"/>
      <c r="F177" s="17"/>
      <c r="G177" s="17"/>
      <c r="H177" s="17"/>
    </row>
    <row r="178" spans="1:8" x14ac:dyDescent="0.2">
      <c r="A178" s="17"/>
      <c r="B178" s="17"/>
      <c r="C178" s="17"/>
      <c r="D178" s="17"/>
      <c r="E178" s="17"/>
      <c r="F178" s="17"/>
      <c r="G178" s="17"/>
      <c r="H178" s="17"/>
    </row>
    <row r="179" spans="1:8" x14ac:dyDescent="0.2">
      <c r="A179" s="17"/>
      <c r="B179" s="17"/>
      <c r="C179" s="17"/>
      <c r="D179" s="17"/>
      <c r="E179" s="17"/>
      <c r="F179" s="17"/>
      <c r="G179" s="17"/>
      <c r="H179" s="17"/>
    </row>
    <row r="180" spans="1:8" x14ac:dyDescent="0.2">
      <c r="A180" s="17"/>
      <c r="B180" s="17"/>
      <c r="C180" s="17"/>
      <c r="D180" s="17"/>
      <c r="E180" s="17"/>
      <c r="F180" s="17"/>
      <c r="G180" s="17"/>
      <c r="H180" s="17"/>
    </row>
    <row r="181" spans="1:8" x14ac:dyDescent="0.2">
      <c r="A181" s="17"/>
      <c r="B181" s="17"/>
      <c r="C181" s="17"/>
      <c r="D181" s="17"/>
      <c r="E181" s="17"/>
      <c r="F181" s="17"/>
      <c r="G181" s="17"/>
      <c r="H181" s="17"/>
    </row>
    <row r="182" spans="1:8" x14ac:dyDescent="0.2">
      <c r="A182" s="17"/>
      <c r="B182" s="17"/>
      <c r="C182" s="17"/>
      <c r="D182" s="17"/>
      <c r="E182" s="17"/>
      <c r="F182" s="17"/>
      <c r="G182" s="17"/>
      <c r="H182" s="17"/>
    </row>
    <row r="183" spans="1:8" x14ac:dyDescent="0.2">
      <c r="A183" s="17"/>
      <c r="B183" s="17"/>
      <c r="C183" s="17"/>
      <c r="D183" s="17"/>
      <c r="E183" s="17"/>
      <c r="F183" s="17"/>
      <c r="G183" s="17"/>
      <c r="H183" s="17"/>
    </row>
  </sheetData>
  <mergeCells count="26">
    <mergeCell ref="A106:C106"/>
    <mergeCell ref="E106:G106"/>
    <mergeCell ref="E103:G103"/>
    <mergeCell ref="E104:G104"/>
    <mergeCell ref="E105:G105"/>
    <mergeCell ref="A84:B84"/>
    <mergeCell ref="A88:E88"/>
    <mergeCell ref="E102:G102"/>
    <mergeCell ref="A100:G100"/>
    <mergeCell ref="A101:G101"/>
    <mergeCell ref="E97:G97"/>
    <mergeCell ref="A90:G90"/>
    <mergeCell ref="A91:G91"/>
    <mergeCell ref="E98:G98"/>
    <mergeCell ref="A98:C98"/>
    <mergeCell ref="E93:G93"/>
    <mergeCell ref="E94:G94"/>
    <mergeCell ref="E95:G95"/>
    <mergeCell ref="E96:G96"/>
    <mergeCell ref="E92:G92"/>
    <mergeCell ref="A3:E3"/>
    <mergeCell ref="A4:E4"/>
    <mergeCell ref="A76:B76"/>
    <mergeCell ref="A81:B81"/>
    <mergeCell ref="A73:H73"/>
    <mergeCell ref="A74:H74"/>
  </mergeCells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0"/>
  <sheetViews>
    <sheetView topLeftCell="A13" workbookViewId="0">
      <selection activeCell="D25" sqref="D25:F26"/>
    </sheetView>
  </sheetViews>
  <sheetFormatPr defaultColWidth="9.14453125" defaultRowHeight="14.25" x14ac:dyDescent="0.15"/>
  <cols>
    <col min="1" max="1" width="6.9921875" style="16" customWidth="1"/>
    <col min="2" max="2" width="38.203125" style="4" customWidth="1"/>
    <col min="3" max="3" width="21.25390625" style="4" customWidth="1"/>
    <col min="4" max="4" width="7.26171875" style="16" customWidth="1"/>
    <col min="5" max="5" width="39.81640625" style="4" customWidth="1"/>
    <col min="6" max="6" width="16.6796875" style="4" customWidth="1"/>
    <col min="7" max="16384" width="9.14453125" style="4"/>
  </cols>
  <sheetData>
    <row r="1" spans="1:6" ht="15" x14ac:dyDescent="0.2">
      <c r="A1" s="154" t="s">
        <v>70</v>
      </c>
      <c r="B1" s="154"/>
      <c r="C1" s="154"/>
      <c r="D1" s="154"/>
      <c r="E1" s="154"/>
      <c r="F1" s="154"/>
    </row>
    <row r="2" spans="1:6" ht="15" x14ac:dyDescent="0.2">
      <c r="A2" s="154" t="s">
        <v>165</v>
      </c>
      <c r="B2" s="154"/>
      <c r="C2" s="154"/>
      <c r="D2" s="154"/>
      <c r="E2" s="154"/>
      <c r="F2" s="154"/>
    </row>
    <row r="3" spans="1:6" ht="15" x14ac:dyDescent="0.2">
      <c r="A3" s="213"/>
      <c r="B3" s="213"/>
      <c r="C3" s="213"/>
      <c r="D3" s="213"/>
      <c r="E3" s="213"/>
      <c r="F3" s="213"/>
    </row>
    <row r="4" spans="1:6" ht="15" x14ac:dyDescent="0.2">
      <c r="A4" s="139">
        <v>10000</v>
      </c>
      <c r="B4" s="140" t="str">
        <f>VLOOKUP(A4,'Master Akun'!A6:E70,2,)</f>
        <v>AKTIVA</v>
      </c>
      <c r="C4" s="141"/>
      <c r="D4" s="142">
        <v>20000</v>
      </c>
      <c r="E4" s="143" t="str">
        <f>VLOOKUP(D4,'Master Akun'!A9:E73,2,)</f>
        <v>KEWAJIBAN</v>
      </c>
      <c r="F4" s="144"/>
    </row>
    <row r="5" spans="1:6" ht="15" x14ac:dyDescent="0.2">
      <c r="A5" s="122">
        <v>11000</v>
      </c>
      <c r="B5" s="145" t="str">
        <f>VLOOKUP(A5,'Master Akun'!A7:E71,2,)</f>
        <v>AKTIVA LANCAR</v>
      </c>
      <c r="C5" s="124"/>
      <c r="D5" s="146">
        <v>21000</v>
      </c>
      <c r="E5" s="147" t="str">
        <f>VLOOKUP(D5,'Master Akun'!A9:E73,2,)</f>
        <v>KEWAJIBAN LANCAR</v>
      </c>
      <c r="F5" s="113"/>
    </row>
    <row r="6" spans="1:6" ht="15" x14ac:dyDescent="0.2">
      <c r="A6" s="122">
        <v>11100</v>
      </c>
      <c r="B6" s="145" t="str">
        <f>VLOOKUP(A6,'Master Akun'!A8:E72,2,)</f>
        <v>KAS</v>
      </c>
      <c r="C6" s="124"/>
      <c r="D6" s="148">
        <v>21100</v>
      </c>
      <c r="E6" s="101" t="str">
        <f>VLOOKUP(D6,'Master Akun'!A10:E74,2,)</f>
        <v>Hutang Usaha</v>
      </c>
      <c r="F6" s="113">
        <f ca="1">VLOOKUP(D6,NS!A7:I66,9,)</f>
        <v>46567500</v>
      </c>
    </row>
    <row r="7" spans="1:6" ht="15" x14ac:dyDescent="0.2">
      <c r="A7" s="125">
        <v>11101</v>
      </c>
      <c r="B7" s="149" t="str">
        <f>VLOOKUP(A7,'Master Akun'!A9:E73,2,)</f>
        <v>Kas Di tangan</v>
      </c>
      <c r="C7" s="124">
        <f ca="1">VLOOKUP(A7,NS!A7:I66,8,)</f>
        <v>62773250</v>
      </c>
      <c r="D7" s="148">
        <v>21200</v>
      </c>
      <c r="E7" s="101" t="str">
        <f>VLOOKUP(D7,'Master Akun'!A11:E75,2,)</f>
        <v>Pendapatan Diterima Dimuka- Jasa Kirim</v>
      </c>
      <c r="F7" s="113">
        <f ca="1">VLOOKUP(D7,NS!A8:I67,9,)</f>
        <v>200000</v>
      </c>
    </row>
    <row r="8" spans="1:6" ht="15" x14ac:dyDescent="0.2">
      <c r="A8" s="125">
        <v>11102</v>
      </c>
      <c r="B8" s="149" t="str">
        <f>VLOOKUP(A8,'Master Akun'!A10:E74,2,)</f>
        <v>Kas Kecil</v>
      </c>
      <c r="C8" s="124">
        <f ca="1">VLOOKUP(A8,NS!A8:I67,8,)</f>
        <v>750000</v>
      </c>
      <c r="D8" s="148">
        <v>21300</v>
      </c>
      <c r="E8" s="101" t="str">
        <f>VLOOKUP(D8,'Master Akun'!A12:E76,2,)</f>
        <v>Hutang Bunga</v>
      </c>
      <c r="F8" s="113">
        <f ca="1">VLOOKUP(D8,NS!A9:I68,9,)</f>
        <v>1500000</v>
      </c>
    </row>
    <row r="9" spans="1:6" ht="15" x14ac:dyDescent="0.2">
      <c r="A9" s="125">
        <v>11201</v>
      </c>
      <c r="B9" s="149" t="str">
        <f>VLOOKUP(A9,'Master Akun'!A11:E75,2,)</f>
        <v>Bank BCA</v>
      </c>
      <c r="C9" s="124">
        <f ca="1">VLOOKUP(A9,NS!A9:I68,8,)</f>
        <v>21875000</v>
      </c>
      <c r="D9" s="148">
        <v>21400</v>
      </c>
      <c r="E9" s="101" t="str">
        <f>VLOOKUP(D9,'Master Akun'!A13:E77,2,)</f>
        <v>Hutang Pajak</v>
      </c>
      <c r="F9" s="113">
        <f ca="1">VLOOKUP(D9,NS!A10:I69,9,)</f>
        <v>0</v>
      </c>
    </row>
    <row r="10" spans="1:6" ht="15" x14ac:dyDescent="0.2">
      <c r="A10" s="125">
        <v>11202</v>
      </c>
      <c r="B10" s="149" t="str">
        <f>VLOOKUP(A10,'Master Akun'!A12:E76,2,)</f>
        <v>Bank Mandiri</v>
      </c>
      <c r="C10" s="124">
        <f ca="1">VLOOKUP(A10,NS!A10:I69,8,)</f>
        <v>52011500</v>
      </c>
      <c r="D10" s="148">
        <v>21401</v>
      </c>
      <c r="E10" s="101" t="str">
        <f>VLOOKUP(D10,'Master Akun'!A14:E78,2,)</f>
        <v>Utang PPh Pasal 21</v>
      </c>
      <c r="F10" s="113">
        <f ca="1">VLOOKUP(D10,NS!A11:I70,9,)</f>
        <v>725000</v>
      </c>
    </row>
    <row r="11" spans="1:6" ht="15" x14ac:dyDescent="0.2">
      <c r="A11" s="125">
        <v>11301</v>
      </c>
      <c r="B11" s="149" t="str">
        <f>VLOOKUP(A11,'Master Akun'!A13:E77,2,)</f>
        <v xml:space="preserve">Piutang Usaha </v>
      </c>
      <c r="C11" s="124">
        <f ca="1">VLOOKUP(A11,NS!A11:I70,8,)</f>
        <v>58035000</v>
      </c>
      <c r="D11" s="148">
        <v>21402</v>
      </c>
      <c r="E11" s="101" t="str">
        <f>VLOOKUP(D11,'Master Akun'!A15:E79,2,)</f>
        <v>Utang PPh Pasal 4</v>
      </c>
      <c r="F11" s="113">
        <f ca="1">VLOOKUP(D11,NS!A12:I71,9,)</f>
        <v>250000</v>
      </c>
    </row>
    <row r="12" spans="1:6" ht="15" x14ac:dyDescent="0.2">
      <c r="A12" s="125">
        <v>11302</v>
      </c>
      <c r="B12" s="149" t="str">
        <f>VLOOKUP(A12,'Master Akun'!A14:E78,2,)</f>
        <v>Cadangan Piutang Tak Tertagih</v>
      </c>
      <c r="C12" s="150">
        <f ca="1">-VLOOKUP(A12,NS!A12:I71,9,)</f>
        <v>-2901750</v>
      </c>
      <c r="D12" s="148">
        <v>21403</v>
      </c>
      <c r="E12" s="101" t="str">
        <f>VLOOKUP(D12,'Master Akun'!A16:E80,2,)</f>
        <v>PPn Keluaran</v>
      </c>
      <c r="F12" s="113">
        <f ca="1">VLOOKUP(D12,NS!A13:I72,9,)</f>
        <v>13969750</v>
      </c>
    </row>
    <row r="13" spans="1:6" ht="15.75" thickBot="1" x14ac:dyDescent="0.25">
      <c r="A13" s="125">
        <v>11400</v>
      </c>
      <c r="B13" s="149" t="str">
        <f>VLOOKUP(A13,'Master Akun'!A15:E79,2,)</f>
        <v>PIUTANG LAIN-LAIN</v>
      </c>
      <c r="C13" s="124">
        <f ca="1">VLOOKUP(A13,NS!A13:I72,8,)</f>
        <v>0</v>
      </c>
      <c r="D13" s="214" t="s">
        <v>214</v>
      </c>
      <c r="E13" s="215"/>
      <c r="F13" s="152">
        <f ca="1">SUM(F6:F12)</f>
        <v>63212250</v>
      </c>
    </row>
    <row r="14" spans="1:6" ht="15" x14ac:dyDescent="0.2">
      <c r="A14" s="125">
        <v>11401</v>
      </c>
      <c r="B14" s="149" t="str">
        <f>VLOOKUP(A14,'Master Akun'!A16:E80,2,)</f>
        <v>Piutang Karyawan</v>
      </c>
      <c r="C14" s="124">
        <f ca="1">VLOOKUP(A14,NS!A14:I73,8,)</f>
        <v>2000000</v>
      </c>
      <c r="D14" s="148"/>
      <c r="E14" s="101"/>
      <c r="F14" s="113"/>
    </row>
    <row r="15" spans="1:6" ht="15" x14ac:dyDescent="0.2">
      <c r="A15" s="125">
        <v>11500</v>
      </c>
      <c r="B15" s="149" t="str">
        <f>VLOOKUP(A15,'Master Akun'!A17:E81,2,)</f>
        <v>PERSEDIAAN BARANG DAGANGAN</v>
      </c>
      <c r="C15" s="124">
        <f ca="1">VLOOKUP(A15,NS!A15:I74,8,)</f>
        <v>71465000</v>
      </c>
      <c r="D15" s="146">
        <v>22000</v>
      </c>
      <c r="E15" s="147" t="str">
        <f>VLOOKUP(D15,'Master Akun'!A19:E83,2,)</f>
        <v>KEWAJIBAN JANGKA PANJANG</v>
      </c>
      <c r="F15" s="113"/>
    </row>
    <row r="16" spans="1:6" ht="15" x14ac:dyDescent="0.2">
      <c r="A16" s="125">
        <v>11600</v>
      </c>
      <c r="B16" s="149" t="str">
        <f>VLOOKUP(A16,'Master Akun'!A18:E82,2,)</f>
        <v>PEMBAYARAN DIMUKA</v>
      </c>
      <c r="C16" s="124">
        <f ca="1">VLOOKUP(A16,NS!A16:I75,8,)</f>
        <v>0</v>
      </c>
      <c r="D16" s="148">
        <v>22001</v>
      </c>
      <c r="E16" s="101" t="str">
        <f>VLOOKUP(D16,'Master Akun'!A20:E84,2,)</f>
        <v>Hutang Bank Mandiri</v>
      </c>
      <c r="F16" s="113">
        <f ca="1">VLOOKUP(D16,NS!A7:I66,9,)</f>
        <v>75000000</v>
      </c>
    </row>
    <row r="17" spans="1:6" ht="15.75" thickBot="1" x14ac:dyDescent="0.25">
      <c r="A17" s="125">
        <v>11601</v>
      </c>
      <c r="B17" s="149" t="str">
        <f>VLOOKUP(A17,'Master Akun'!A19:E83,2,)</f>
        <v>PPN Masukan</v>
      </c>
      <c r="C17" s="124">
        <f ca="1">VLOOKUP(A17,NS!A17:I76,8,)</f>
        <v>2392500</v>
      </c>
      <c r="D17" s="214" t="s">
        <v>216</v>
      </c>
      <c r="E17" s="215"/>
      <c r="F17" s="152">
        <f ca="1">F16</f>
        <v>75000000</v>
      </c>
    </row>
    <row r="18" spans="1:6" ht="15" x14ac:dyDescent="0.2">
      <c r="A18" s="125">
        <v>11602</v>
      </c>
      <c r="B18" s="149" t="str">
        <f>VLOOKUP(A18,'Master Akun'!A20:E84,2,)</f>
        <v>Uang Muka Pembelian</v>
      </c>
      <c r="C18" s="124">
        <f ca="1">VLOOKUP(A18,NS!A18:I77,8,)</f>
        <v>0</v>
      </c>
      <c r="D18" s="214" t="s">
        <v>217</v>
      </c>
      <c r="E18" s="215"/>
      <c r="F18" s="153">
        <f ca="1">F13+F17</f>
        <v>138212250</v>
      </c>
    </row>
    <row r="19" spans="1:6" ht="15.75" thickBot="1" x14ac:dyDescent="0.25">
      <c r="A19" s="212" t="s">
        <v>212</v>
      </c>
      <c r="B19" s="212"/>
      <c r="C19" s="151">
        <f ca="1">SUM(C7:C18)</f>
        <v>268400500</v>
      </c>
      <c r="D19" s="148"/>
      <c r="E19" s="101"/>
      <c r="F19" s="113"/>
    </row>
    <row r="20" spans="1:6" ht="15" x14ac:dyDescent="0.2">
      <c r="A20" s="122">
        <v>12000</v>
      </c>
      <c r="B20" s="145" t="str">
        <f>VLOOKUP(A20,'Master Akun'!A9:E73,2,)</f>
        <v>AKTIVA TETAP</v>
      </c>
      <c r="C20" s="113"/>
      <c r="D20" s="146">
        <v>30000</v>
      </c>
      <c r="E20" s="147" t="str">
        <f>VLOOKUP(D20,'Master Akun'!A24:E88,2,)</f>
        <v>EKUITAS</v>
      </c>
      <c r="F20" s="113"/>
    </row>
    <row r="21" spans="1:6" ht="15" x14ac:dyDescent="0.2">
      <c r="A21" s="125">
        <v>12101</v>
      </c>
      <c r="B21" s="149" t="str">
        <f>VLOOKUP(A21,'Master Akun'!A10:E74,2,)</f>
        <v>Peralatan Kantor</v>
      </c>
      <c r="C21" s="113">
        <f ca="1">VLOOKUP(A21,NS!A7:I66,8,)</f>
        <v>25000000</v>
      </c>
      <c r="D21" s="148">
        <v>31000</v>
      </c>
      <c r="E21" s="101" t="str">
        <f>VLOOKUP(D21,'Master Akun'!A25:E89,2,)</f>
        <v>Modal Saham</v>
      </c>
      <c r="F21" s="113">
        <f ca="1">VLOOKUP(D21,NS!A7:I66,9,)</f>
        <v>150000000</v>
      </c>
    </row>
    <row r="22" spans="1:6" ht="15" x14ac:dyDescent="0.2">
      <c r="A22" s="125">
        <v>12102</v>
      </c>
      <c r="B22" s="149" t="str">
        <f>VLOOKUP(A22,'Master Akun'!A11:E75,2,)</f>
        <v>Akumulasi Penyusutan Peralatan Kantor</v>
      </c>
      <c r="C22" s="113">
        <f ca="1">-VLOOKUP(A22,NS!A8:I67,9,)</f>
        <v>-7900000</v>
      </c>
      <c r="D22" s="148">
        <v>32000</v>
      </c>
      <c r="E22" s="101" t="str">
        <f>VLOOKUP(D22,'Master Akun'!A26:E90,2,)</f>
        <v>Laba Ditahan Periode Lalu</v>
      </c>
      <c r="F22" s="113">
        <v>0</v>
      </c>
    </row>
    <row r="23" spans="1:6" ht="15" x14ac:dyDescent="0.2">
      <c r="A23" s="125">
        <v>12201</v>
      </c>
      <c r="B23" s="149" t="str">
        <f>VLOOKUP(A23,'Master Akun'!A12:E76,2,)</f>
        <v>Kendaraan</v>
      </c>
      <c r="C23" s="113">
        <f ca="1">VLOOKUP(A23,NS!A9:I68,8,)</f>
        <v>50500000</v>
      </c>
      <c r="D23" s="148">
        <v>33000</v>
      </c>
      <c r="E23" s="101" t="str">
        <f>VLOOKUP(D23,'Master Akun'!A27:E91,2,)</f>
        <v>Laba Ditahan Periode Berjalan</v>
      </c>
      <c r="F23" s="113">
        <f ca="1">'Laporan Perubahan Laba Ditahan'!C9</f>
        <v>23788250</v>
      </c>
    </row>
    <row r="24" spans="1:6" ht="15" x14ac:dyDescent="0.2">
      <c r="A24" s="125">
        <v>12202</v>
      </c>
      <c r="B24" s="149" t="str">
        <f>VLOOKUP(A24,'Master Akun'!A13:E77,2,)</f>
        <v>Akumulasi Penyusutan Kendaraan</v>
      </c>
      <c r="C24" s="113">
        <f ca="1">-VLOOKUP(A24,NS!A10:I69,9,)</f>
        <v>-24000000</v>
      </c>
      <c r="D24" s="148">
        <v>39999</v>
      </c>
      <c r="E24" s="101" t="str">
        <f>VLOOKUP(D24,'Master Akun'!A28:E92,2,)</f>
        <v>Perkiraan Penyeimbang</v>
      </c>
      <c r="F24" s="113">
        <f ca="1">VLOOKUP(D24,NS!A10:I69,9,)</f>
        <v>0</v>
      </c>
    </row>
    <row r="25" spans="1:6" ht="15.75" thickBot="1" x14ac:dyDescent="0.25">
      <c r="A25" s="211" t="s">
        <v>213</v>
      </c>
      <c r="B25" s="211"/>
      <c r="C25" s="151">
        <f ca="1">SUM(C21:C24)</f>
        <v>43600000</v>
      </c>
      <c r="D25" s="214" t="s">
        <v>218</v>
      </c>
      <c r="E25" s="216"/>
      <c r="F25" s="152">
        <f ca="1">SUM(F21:F24)</f>
        <v>173788250</v>
      </c>
    </row>
    <row r="26" spans="1:6" ht="15.75" thickBot="1" x14ac:dyDescent="0.25">
      <c r="A26" s="211" t="s">
        <v>215</v>
      </c>
      <c r="B26" s="211"/>
      <c r="C26" s="134">
        <f ca="1">C25+C19</f>
        <v>312000500</v>
      </c>
      <c r="D26" s="215" t="s">
        <v>219</v>
      </c>
      <c r="E26" s="215"/>
      <c r="F26" s="134">
        <f ca="1">F18+F25</f>
        <v>312000500</v>
      </c>
    </row>
    <row r="27" spans="1:6" ht="15" x14ac:dyDescent="0.2">
      <c r="A27" s="125"/>
      <c r="B27" s="101"/>
      <c r="C27" s="101"/>
      <c r="D27" s="125"/>
      <c r="E27" s="101"/>
      <c r="F27" s="101"/>
    </row>
    <row r="28" spans="1:6" ht="15" x14ac:dyDescent="0.2">
      <c r="A28" s="125"/>
      <c r="B28" s="101"/>
      <c r="C28" s="101"/>
      <c r="D28" s="125"/>
      <c r="E28" s="101"/>
      <c r="F28" s="101"/>
    </row>
    <row r="29" spans="1:6" ht="15" x14ac:dyDescent="0.2">
      <c r="A29" s="125"/>
      <c r="B29" s="101"/>
      <c r="C29" s="101"/>
      <c r="D29" s="125"/>
      <c r="E29" s="101"/>
      <c r="F29" s="101"/>
    </row>
    <row r="30" spans="1:6" ht="15" x14ac:dyDescent="0.2">
      <c r="A30" s="125"/>
      <c r="B30" s="101"/>
      <c r="C30" s="101"/>
      <c r="D30" s="125"/>
      <c r="E30" s="101"/>
      <c r="F30" s="101"/>
    </row>
  </sheetData>
  <mergeCells count="11">
    <mergeCell ref="A19:B19"/>
    <mergeCell ref="A25:B25"/>
    <mergeCell ref="A26:B26"/>
    <mergeCell ref="A1:F1"/>
    <mergeCell ref="A2:F2"/>
    <mergeCell ref="A3:F3"/>
    <mergeCell ref="D13:E13"/>
    <mergeCell ref="D17:E17"/>
    <mergeCell ref="D18:E18"/>
    <mergeCell ref="D25:E25"/>
    <mergeCell ref="D26:E26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YV120"/>
  <sheetViews>
    <sheetView zoomScale="90" zoomScaleNormal="90" workbookViewId="0">
      <pane ySplit="6" topLeftCell="A7" activePane="bottomLeft" state="frozen"/>
      <selection activeCell="B1" sqref="B1"/>
      <selection pane="bottomLeft" activeCell="A4" sqref="A4:N4"/>
    </sheetView>
  </sheetViews>
  <sheetFormatPr defaultColWidth="9.14453125" defaultRowHeight="14.25" x14ac:dyDescent="0.15"/>
  <cols>
    <col min="1" max="1" width="9.14453125" style="1"/>
    <col min="2" max="2" width="13.046875" style="1" customWidth="1"/>
    <col min="3" max="3" width="12.9140625" style="4" customWidth="1"/>
    <col min="4" max="4" width="38.47265625" style="4" customWidth="1"/>
    <col min="5" max="5" width="9.14453125" style="1"/>
    <col min="6" max="7" width="16.6796875" style="12" bestFit="1" customWidth="1"/>
    <col min="8" max="8" width="11.8359375" style="1" customWidth="1"/>
    <col min="9" max="9" width="9.14453125" style="1"/>
    <col min="10" max="10" width="14.2578125" style="4" bestFit="1" customWidth="1"/>
    <col min="11" max="11" width="15.46875" style="4" bestFit="1" customWidth="1"/>
    <col min="12" max="12" width="9.14453125" style="1"/>
    <col min="13" max="13" width="14.2578125" style="4" bestFit="1" customWidth="1"/>
    <col min="14" max="14" width="15.46875" style="4" bestFit="1" customWidth="1"/>
    <col min="15" max="16384" width="9.14453125" style="4"/>
  </cols>
  <sheetData>
    <row r="1" spans="1:3376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376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3376" ht="15" x14ac:dyDescent="0.2">
      <c r="A3" s="154" t="s">
        <v>70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3376" ht="15" x14ac:dyDescent="0.2">
      <c r="A4" s="155" t="s">
        <v>151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3376" ht="15" x14ac:dyDescent="0.2">
      <c r="A5" s="179" t="s">
        <v>141</v>
      </c>
      <c r="B5" s="179" t="s">
        <v>142</v>
      </c>
      <c r="C5" s="179" t="s">
        <v>143</v>
      </c>
      <c r="D5" s="179" t="s">
        <v>144</v>
      </c>
      <c r="E5" s="179" t="s">
        <v>145</v>
      </c>
      <c r="F5" s="184" t="s">
        <v>2</v>
      </c>
      <c r="G5" s="184" t="s">
        <v>3</v>
      </c>
      <c r="H5" s="179" t="s">
        <v>146</v>
      </c>
      <c r="I5" s="181" t="s">
        <v>147</v>
      </c>
      <c r="J5" s="182"/>
      <c r="K5" s="183"/>
      <c r="L5" s="181" t="s">
        <v>148</v>
      </c>
      <c r="M5" s="182"/>
      <c r="N5" s="183"/>
      <c r="O5" s="50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</row>
    <row r="6" spans="1:3376" ht="15.75" thickBot="1" x14ac:dyDescent="0.25">
      <c r="A6" s="180"/>
      <c r="B6" s="180"/>
      <c r="C6" s="180"/>
      <c r="D6" s="180"/>
      <c r="E6" s="180"/>
      <c r="F6" s="185"/>
      <c r="G6" s="185"/>
      <c r="H6" s="180"/>
      <c r="I6" s="51" t="s">
        <v>149</v>
      </c>
      <c r="J6" s="51" t="s">
        <v>150</v>
      </c>
      <c r="K6" s="51" t="s">
        <v>80</v>
      </c>
      <c r="L6" s="51" t="s">
        <v>149</v>
      </c>
      <c r="M6" s="51" t="s">
        <v>150</v>
      </c>
      <c r="N6" s="51" t="s">
        <v>80</v>
      </c>
      <c r="O6" s="50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</row>
    <row r="7" spans="1:3376" ht="15" x14ac:dyDescent="0.2">
      <c r="A7" s="52">
        <v>11602</v>
      </c>
      <c r="B7" s="168">
        <v>38719</v>
      </c>
      <c r="C7" s="171" t="s">
        <v>172</v>
      </c>
      <c r="D7" s="53" t="str">
        <f>VLOOKUP(A7,'Master Akun'!A6:E70,2,)</f>
        <v>Uang Muka Pembelian</v>
      </c>
      <c r="E7" s="54"/>
      <c r="F7" s="55">
        <v>6000000</v>
      </c>
      <c r="G7" s="55"/>
      <c r="H7" s="54"/>
      <c r="I7" s="54"/>
      <c r="J7" s="56"/>
      <c r="K7" s="56"/>
      <c r="L7" s="54"/>
      <c r="M7" s="56"/>
      <c r="N7" s="57"/>
      <c r="Q7" s="13"/>
      <c r="R7" s="13"/>
    </row>
    <row r="8" spans="1:3376" ht="15.75" thickBot="1" x14ac:dyDescent="0.25">
      <c r="A8" s="58">
        <v>11201</v>
      </c>
      <c r="B8" s="177"/>
      <c r="C8" s="170"/>
      <c r="D8" s="59" t="str">
        <f>VLOOKUP(A8,'Master Akun'!A7:E71,2,)</f>
        <v>Bank BCA</v>
      </c>
      <c r="E8" s="60"/>
      <c r="F8" s="61"/>
      <c r="G8" s="61">
        <v>6000000</v>
      </c>
      <c r="H8" s="60"/>
      <c r="I8" s="60"/>
      <c r="J8" s="62"/>
      <c r="K8" s="62"/>
      <c r="L8" s="60"/>
      <c r="M8" s="62"/>
      <c r="N8" s="63"/>
    </row>
    <row r="9" spans="1:3376" ht="15" x14ac:dyDescent="0.2">
      <c r="A9" s="52">
        <v>21100</v>
      </c>
      <c r="B9" s="168">
        <v>38719</v>
      </c>
      <c r="C9" s="171" t="s">
        <v>173</v>
      </c>
      <c r="D9" s="64" t="str">
        <f>VLOOKUP(A9,'Master Akun'!A8:E72,2,)</f>
        <v>Hutang Usaha</v>
      </c>
      <c r="E9" s="54" t="s">
        <v>131</v>
      </c>
      <c r="F9" s="55">
        <v>24000000</v>
      </c>
      <c r="G9" s="55"/>
      <c r="H9" s="54"/>
      <c r="I9" s="54"/>
      <c r="J9" s="56"/>
      <c r="K9" s="56"/>
      <c r="L9" s="54"/>
      <c r="M9" s="56"/>
      <c r="N9" s="57"/>
    </row>
    <row r="10" spans="1:3376" ht="15.75" thickBot="1" x14ac:dyDescent="0.25">
      <c r="A10" s="58">
        <v>11201</v>
      </c>
      <c r="B10" s="177"/>
      <c r="C10" s="170"/>
      <c r="D10" s="59" t="str">
        <f>VLOOKUP(A10,'Master Akun'!A9:E73,2,)</f>
        <v>Bank BCA</v>
      </c>
      <c r="E10" s="60"/>
      <c r="F10" s="61"/>
      <c r="G10" s="61">
        <v>24000000</v>
      </c>
      <c r="H10" s="60"/>
      <c r="I10" s="60"/>
      <c r="J10" s="62"/>
      <c r="K10" s="62"/>
      <c r="L10" s="60"/>
      <c r="M10" s="62"/>
      <c r="N10" s="63"/>
    </row>
    <row r="11" spans="1:3376" ht="15" x14ac:dyDescent="0.2">
      <c r="A11" s="52">
        <v>11101</v>
      </c>
      <c r="B11" s="168">
        <v>38720</v>
      </c>
      <c r="C11" s="171" t="s">
        <v>174</v>
      </c>
      <c r="D11" s="53" t="str">
        <f>VLOOKUP(A11,'Master Akun'!A1:E74,2,)</f>
        <v>Kas Di tangan</v>
      </c>
      <c r="E11" s="54"/>
      <c r="F11" s="55">
        <v>24956250</v>
      </c>
      <c r="G11" s="55"/>
      <c r="H11" s="54"/>
      <c r="I11" s="54"/>
      <c r="J11" s="56"/>
      <c r="K11" s="56"/>
      <c r="L11" s="54"/>
      <c r="M11" s="56"/>
      <c r="N11" s="57"/>
    </row>
    <row r="12" spans="1:3376" ht="15" x14ac:dyDescent="0.2">
      <c r="A12" s="65">
        <v>43000</v>
      </c>
      <c r="B12" s="178"/>
      <c r="C12" s="169"/>
      <c r="D12" s="66" t="str">
        <f>VLOOKUP(A12,'Master Akun'!A11:E75,2,)</f>
        <v>Potongan Penjualan</v>
      </c>
      <c r="E12" s="33"/>
      <c r="F12" s="67">
        <v>562500</v>
      </c>
      <c r="G12" s="67"/>
      <c r="H12" s="33"/>
      <c r="I12" s="33"/>
      <c r="J12" s="68"/>
      <c r="K12" s="68"/>
      <c r="L12" s="33"/>
      <c r="M12" s="68"/>
      <c r="N12" s="69"/>
    </row>
    <row r="13" spans="1:3376" ht="15" x14ac:dyDescent="0.2">
      <c r="A13" s="65">
        <v>41000</v>
      </c>
      <c r="B13" s="178"/>
      <c r="C13" s="169"/>
      <c r="D13" s="66" t="str">
        <f>VLOOKUP(A13,'Master Akun'!A12:E76,2,)</f>
        <v>Penjualan</v>
      </c>
      <c r="E13" s="33"/>
      <c r="F13" s="67"/>
      <c r="G13" s="67">
        <v>23250000</v>
      </c>
      <c r="H13" s="33"/>
      <c r="I13" s="33"/>
      <c r="J13" s="68"/>
      <c r="K13" s="68"/>
      <c r="L13" s="33"/>
      <c r="M13" s="68"/>
      <c r="N13" s="69"/>
    </row>
    <row r="14" spans="1:3376" ht="15" x14ac:dyDescent="0.2">
      <c r="A14" s="65">
        <v>21403</v>
      </c>
      <c r="B14" s="178"/>
      <c r="C14" s="169"/>
      <c r="D14" s="66" t="str">
        <f>VLOOKUP(A14,'Master Akun'!A13:E77,2,)</f>
        <v>PPn Keluaran</v>
      </c>
      <c r="E14" s="33"/>
      <c r="F14" s="67"/>
      <c r="G14" s="67">
        <v>2268750</v>
      </c>
      <c r="H14" s="33"/>
      <c r="I14" s="33"/>
      <c r="J14" s="68"/>
      <c r="K14" s="68"/>
      <c r="L14" s="33"/>
      <c r="M14" s="68"/>
      <c r="N14" s="69"/>
    </row>
    <row r="15" spans="1:3376" ht="15" x14ac:dyDescent="0.2">
      <c r="A15" s="65">
        <v>51000</v>
      </c>
      <c r="B15" s="178"/>
      <c r="C15" s="169"/>
      <c r="D15" s="66" t="str">
        <f>VLOOKUP(A15,'Master Akun'!A1:E78,2,)</f>
        <v>Harga Pokok Penjualan</v>
      </c>
      <c r="E15" s="33"/>
      <c r="F15" s="67">
        <f>G16+G17</f>
        <v>19350000</v>
      </c>
      <c r="G15" s="67"/>
      <c r="H15" s="33"/>
      <c r="I15" s="33"/>
      <c r="J15" s="68"/>
      <c r="K15" s="68"/>
      <c r="L15" s="33"/>
      <c r="M15" s="68"/>
      <c r="N15" s="69"/>
    </row>
    <row r="16" spans="1:3376" ht="15" x14ac:dyDescent="0.2">
      <c r="A16" s="65">
        <v>11500</v>
      </c>
      <c r="B16" s="178"/>
      <c r="C16" s="169"/>
      <c r="D16" s="66" t="str">
        <f>VLOOKUP(A16,'Master Akun'!A2:E79,2,)</f>
        <v>PERSEDIAAN BARANG DAGANGAN</v>
      </c>
      <c r="E16" s="33"/>
      <c r="F16" s="67"/>
      <c r="G16" s="67">
        <f>N16</f>
        <v>9600000</v>
      </c>
      <c r="H16" s="33" t="s">
        <v>81</v>
      </c>
      <c r="I16" s="33"/>
      <c r="J16" s="68"/>
      <c r="K16" s="68"/>
      <c r="L16" s="33">
        <v>8</v>
      </c>
      <c r="M16" s="67">
        <v>1200000</v>
      </c>
      <c r="N16" s="70">
        <f>M16*L16</f>
        <v>9600000</v>
      </c>
    </row>
    <row r="17" spans="1:14" ht="15.75" thickBot="1" x14ac:dyDescent="0.25">
      <c r="A17" s="58">
        <v>11500</v>
      </c>
      <c r="B17" s="177"/>
      <c r="C17" s="170"/>
      <c r="D17" s="59" t="str">
        <f>VLOOKUP(A17,'Master Akun'!A3:E80,2,)</f>
        <v>PERSEDIAAN BARANG DAGANGAN</v>
      </c>
      <c r="E17" s="60"/>
      <c r="F17" s="61"/>
      <c r="G17" s="61">
        <f>N17</f>
        <v>9750000</v>
      </c>
      <c r="H17" s="60" t="s">
        <v>83</v>
      </c>
      <c r="I17" s="60"/>
      <c r="J17" s="62"/>
      <c r="K17" s="62"/>
      <c r="L17" s="60">
        <v>30</v>
      </c>
      <c r="M17" s="61">
        <v>325000</v>
      </c>
      <c r="N17" s="71">
        <f>M17*L17</f>
        <v>9750000</v>
      </c>
    </row>
    <row r="18" spans="1:14" ht="15" x14ac:dyDescent="0.2">
      <c r="A18" s="52">
        <v>11202</v>
      </c>
      <c r="B18" s="168">
        <v>38779</v>
      </c>
      <c r="C18" s="171" t="s">
        <v>175</v>
      </c>
      <c r="D18" s="53" t="str">
        <f>VLOOKUP(A18,'Master Akun'!A4:E81,2,)</f>
        <v>Bank Mandiri</v>
      </c>
      <c r="E18" s="54"/>
      <c r="F18" s="55">
        <v>14550000</v>
      </c>
      <c r="G18" s="55"/>
      <c r="H18" s="54"/>
      <c r="I18" s="54"/>
      <c r="J18" s="56"/>
      <c r="K18" s="56"/>
      <c r="L18" s="54"/>
      <c r="M18" s="56"/>
      <c r="N18" s="57"/>
    </row>
    <row r="19" spans="1:14" ht="15" x14ac:dyDescent="0.2">
      <c r="A19" s="65">
        <v>43000</v>
      </c>
      <c r="B19" s="169"/>
      <c r="C19" s="169"/>
      <c r="D19" s="66" t="str">
        <f>VLOOKUP(A19,'Master Akun'!A5:E82,2,)</f>
        <v>Potongan Penjualan</v>
      </c>
      <c r="E19" s="33"/>
      <c r="F19" s="67">
        <v>450000</v>
      </c>
      <c r="G19" s="67"/>
      <c r="H19" s="33"/>
      <c r="I19" s="33"/>
      <c r="J19" s="68"/>
      <c r="K19" s="68"/>
      <c r="L19" s="33"/>
      <c r="M19" s="68"/>
      <c r="N19" s="69"/>
    </row>
    <row r="20" spans="1:14" ht="15.75" thickBot="1" x14ac:dyDescent="0.25">
      <c r="A20" s="58">
        <v>11301</v>
      </c>
      <c r="B20" s="170"/>
      <c r="C20" s="170"/>
      <c r="D20" s="59" t="str">
        <f>VLOOKUP(A20,'Master Akun'!A6:E83,2,)</f>
        <v xml:space="preserve">Piutang Usaha </v>
      </c>
      <c r="E20" s="60" t="s">
        <v>121</v>
      </c>
      <c r="F20" s="61"/>
      <c r="G20" s="61">
        <f>F19+F18</f>
        <v>15000000</v>
      </c>
      <c r="H20" s="60"/>
      <c r="I20" s="60"/>
      <c r="J20" s="62"/>
      <c r="K20" s="62"/>
      <c r="L20" s="60"/>
      <c r="M20" s="62"/>
      <c r="N20" s="63"/>
    </row>
    <row r="21" spans="1:14" ht="15" x14ac:dyDescent="0.2">
      <c r="A21" s="52">
        <v>11500</v>
      </c>
      <c r="B21" s="172">
        <v>38721</v>
      </c>
      <c r="C21" s="174" t="s">
        <v>176</v>
      </c>
      <c r="D21" s="53" t="str">
        <f>VLOOKUP(A21,'Master Akun'!A7:E84,2,)</f>
        <v>PERSEDIAAN BARANG DAGANGAN</v>
      </c>
      <c r="E21" s="54"/>
      <c r="F21" s="55">
        <f>K21</f>
        <v>12000000</v>
      </c>
      <c r="G21" s="55"/>
      <c r="H21" s="54" t="s">
        <v>81</v>
      </c>
      <c r="I21" s="54">
        <v>10</v>
      </c>
      <c r="J21" s="55">
        <v>1200000</v>
      </c>
      <c r="K21" s="55">
        <f>J21*I21</f>
        <v>12000000</v>
      </c>
      <c r="L21" s="54"/>
      <c r="M21" s="56"/>
      <c r="N21" s="57"/>
    </row>
    <row r="22" spans="1:14" ht="15" x14ac:dyDescent="0.2">
      <c r="A22" s="65">
        <v>11500</v>
      </c>
      <c r="B22" s="175"/>
      <c r="C22" s="175"/>
      <c r="D22" s="66" t="str">
        <f>VLOOKUP(A22,'Master Akun'!A8:E85,2,)</f>
        <v>PERSEDIAAN BARANG DAGANGAN</v>
      </c>
      <c r="E22" s="33"/>
      <c r="F22" s="67">
        <f>K22</f>
        <v>9750000</v>
      </c>
      <c r="G22" s="67"/>
      <c r="H22" s="33" t="s">
        <v>83</v>
      </c>
      <c r="I22" s="33">
        <v>30</v>
      </c>
      <c r="J22" s="67">
        <v>325000</v>
      </c>
      <c r="K22" s="67">
        <f>J22*I22</f>
        <v>9750000</v>
      </c>
      <c r="L22" s="33"/>
      <c r="M22" s="68"/>
      <c r="N22" s="69"/>
    </row>
    <row r="23" spans="1:14" ht="15" x14ac:dyDescent="0.2">
      <c r="A23" s="65">
        <v>11601</v>
      </c>
      <c r="B23" s="175"/>
      <c r="C23" s="175"/>
      <c r="D23" s="66" t="str">
        <f>VLOOKUP(A23,'Master Akun'!A9:E86,2,)</f>
        <v>PPN Masukan</v>
      </c>
      <c r="E23" s="33"/>
      <c r="F23" s="67">
        <f>(F22+F21)*10%</f>
        <v>2175000</v>
      </c>
      <c r="G23" s="67"/>
      <c r="H23" s="33"/>
      <c r="I23" s="33"/>
      <c r="J23" s="68"/>
      <c r="K23" s="68"/>
      <c r="L23" s="33"/>
      <c r="M23" s="68"/>
      <c r="N23" s="69"/>
    </row>
    <row r="24" spans="1:14" ht="15" x14ac:dyDescent="0.2">
      <c r="A24" s="65">
        <v>11602</v>
      </c>
      <c r="B24" s="175"/>
      <c r="C24" s="175"/>
      <c r="D24" s="66" t="str">
        <f>VLOOKUP(A24,'Master Akun'!A10:E87,2,)</f>
        <v>Uang Muka Pembelian</v>
      </c>
      <c r="E24" s="33"/>
      <c r="F24" s="67"/>
      <c r="G24" s="67">
        <v>6000000</v>
      </c>
      <c r="H24" s="33"/>
      <c r="I24" s="33"/>
      <c r="J24" s="68"/>
      <c r="K24" s="68"/>
      <c r="L24" s="33"/>
      <c r="M24" s="68"/>
      <c r="N24" s="69"/>
    </row>
    <row r="25" spans="1:14" ht="15.75" thickBot="1" x14ac:dyDescent="0.25">
      <c r="A25" s="72">
        <v>21100</v>
      </c>
      <c r="B25" s="176"/>
      <c r="C25" s="176"/>
      <c r="D25" s="73" t="str">
        <f>VLOOKUP(A25,'Master Akun'!A11:E88,2,)</f>
        <v>Hutang Usaha</v>
      </c>
      <c r="E25" s="74" t="s">
        <v>131</v>
      </c>
      <c r="F25" s="75"/>
      <c r="G25" s="75">
        <f>F21+F22+F23-G24</f>
        <v>17925000</v>
      </c>
      <c r="H25" s="74"/>
      <c r="I25" s="74"/>
      <c r="J25" s="76"/>
      <c r="K25" s="76"/>
      <c r="L25" s="74"/>
      <c r="M25" s="76"/>
      <c r="N25" s="77"/>
    </row>
    <row r="26" spans="1:14" ht="15" x14ac:dyDescent="0.2">
      <c r="A26" s="52">
        <v>21100</v>
      </c>
      <c r="B26" s="168">
        <v>38723</v>
      </c>
      <c r="C26" s="171" t="s">
        <v>177</v>
      </c>
      <c r="D26" s="53" t="str">
        <f>VLOOKUP(A26,'Master Akun'!A12:E89,2,)</f>
        <v>Hutang Usaha</v>
      </c>
      <c r="E26" s="54" t="s">
        <v>131</v>
      </c>
      <c r="F26" s="55">
        <f>G27+G28</f>
        <v>357500</v>
      </c>
      <c r="G26" s="55"/>
      <c r="H26" s="54"/>
      <c r="I26" s="54"/>
      <c r="J26" s="56"/>
      <c r="K26" s="56"/>
      <c r="L26" s="54"/>
      <c r="M26" s="56"/>
      <c r="N26" s="57"/>
    </row>
    <row r="27" spans="1:14" ht="15" x14ac:dyDescent="0.2">
      <c r="A27" s="65">
        <v>11500</v>
      </c>
      <c r="B27" s="169"/>
      <c r="C27" s="169"/>
      <c r="D27" s="66" t="str">
        <f>VLOOKUP(A27,'Master Akun'!A13:E90,2,)</f>
        <v>PERSEDIAAN BARANG DAGANGAN</v>
      </c>
      <c r="E27" s="33"/>
      <c r="F27" s="67"/>
      <c r="G27" s="67">
        <v>325000</v>
      </c>
      <c r="H27" s="33" t="s">
        <v>83</v>
      </c>
      <c r="I27" s="33">
        <v>-1</v>
      </c>
      <c r="J27" s="67">
        <v>325000</v>
      </c>
      <c r="K27" s="67">
        <f>J27*I27</f>
        <v>-325000</v>
      </c>
      <c r="L27" s="33"/>
      <c r="M27" s="68"/>
      <c r="N27" s="69"/>
    </row>
    <row r="28" spans="1:14" ht="15.75" thickBot="1" x14ac:dyDescent="0.25">
      <c r="A28" s="58">
        <v>11601</v>
      </c>
      <c r="B28" s="170"/>
      <c r="C28" s="170"/>
      <c r="D28" s="59" t="str">
        <f>VLOOKUP(A28,'Master Akun'!A14:E91,2,)</f>
        <v>PPN Masukan</v>
      </c>
      <c r="E28" s="60"/>
      <c r="F28" s="61"/>
      <c r="G28" s="61">
        <f>G27*10%</f>
        <v>32500</v>
      </c>
      <c r="H28" s="60"/>
      <c r="I28" s="60"/>
      <c r="J28" s="62"/>
      <c r="K28" s="62"/>
      <c r="L28" s="60"/>
      <c r="M28" s="62"/>
      <c r="N28" s="63"/>
    </row>
    <row r="29" spans="1:14" ht="15" x14ac:dyDescent="0.2">
      <c r="A29" s="52">
        <v>11201</v>
      </c>
      <c r="B29" s="168">
        <v>38724</v>
      </c>
      <c r="C29" s="171" t="s">
        <v>178</v>
      </c>
      <c r="D29" s="53" t="str">
        <f>VLOOKUP(JU!A29,'Master Akun'!A1:E92,2,)</f>
        <v>Bank BCA</v>
      </c>
      <c r="E29" s="54"/>
      <c r="F29" s="55">
        <v>30000000</v>
      </c>
      <c r="G29" s="55"/>
      <c r="H29" s="54"/>
      <c r="I29" s="54"/>
      <c r="J29" s="56"/>
      <c r="K29" s="56"/>
      <c r="L29" s="54"/>
      <c r="M29" s="56"/>
      <c r="N29" s="57"/>
    </row>
    <row r="30" spans="1:14" ht="15.75" thickBot="1" x14ac:dyDescent="0.25">
      <c r="A30" s="58">
        <v>11202</v>
      </c>
      <c r="B30" s="170"/>
      <c r="C30" s="170"/>
      <c r="D30" s="59" t="str">
        <f>VLOOKUP(A30,'Master Akun'!A2:E93,2,)</f>
        <v>Bank Mandiri</v>
      </c>
      <c r="E30" s="60"/>
      <c r="F30" s="61"/>
      <c r="G30" s="61">
        <v>30000000</v>
      </c>
      <c r="H30" s="60"/>
      <c r="I30" s="60"/>
      <c r="J30" s="62"/>
      <c r="K30" s="62"/>
      <c r="L30" s="60"/>
      <c r="M30" s="62"/>
      <c r="N30" s="63"/>
    </row>
    <row r="31" spans="1:14" ht="15" x14ac:dyDescent="0.2">
      <c r="A31" s="52">
        <v>11201</v>
      </c>
      <c r="B31" s="168">
        <v>38726</v>
      </c>
      <c r="C31" s="171" t="s">
        <v>179</v>
      </c>
      <c r="D31" s="53" t="str">
        <f>VLOOKUP(A31,'Master Akun'!A3:E94,2,)</f>
        <v>Bank BCA</v>
      </c>
      <c r="E31" s="54"/>
      <c r="F31" s="55">
        <v>14700000</v>
      </c>
      <c r="G31" s="55"/>
      <c r="H31" s="54"/>
      <c r="I31" s="54"/>
      <c r="J31" s="56"/>
      <c r="K31" s="56"/>
      <c r="L31" s="54"/>
      <c r="M31" s="56"/>
      <c r="N31" s="57"/>
    </row>
    <row r="32" spans="1:14" ht="15" x14ac:dyDescent="0.2">
      <c r="A32" s="65">
        <v>43000</v>
      </c>
      <c r="B32" s="169"/>
      <c r="C32" s="169"/>
      <c r="D32" s="66" t="str">
        <f>VLOOKUP(A32,'Master Akun'!A4:E95,2,)</f>
        <v>Potongan Penjualan</v>
      </c>
      <c r="E32" s="33"/>
      <c r="F32" s="67">
        <v>300000</v>
      </c>
      <c r="G32" s="67"/>
      <c r="H32" s="33"/>
      <c r="I32" s="33"/>
      <c r="J32" s="68"/>
      <c r="K32" s="68"/>
      <c r="L32" s="33"/>
      <c r="M32" s="68"/>
      <c r="N32" s="69"/>
    </row>
    <row r="33" spans="1:14" ht="15.75" thickBot="1" x14ac:dyDescent="0.25">
      <c r="A33" s="58">
        <v>11301</v>
      </c>
      <c r="B33" s="170"/>
      <c r="C33" s="170"/>
      <c r="D33" s="59" t="str">
        <f>VLOOKUP(A33,'Master Akun'!A5:E96,2,)</f>
        <v xml:space="preserve">Piutang Usaha </v>
      </c>
      <c r="E33" s="60" t="s">
        <v>114</v>
      </c>
      <c r="F33" s="61"/>
      <c r="G33" s="61">
        <f>F31+F32</f>
        <v>15000000</v>
      </c>
      <c r="H33" s="60"/>
      <c r="I33" s="60"/>
      <c r="J33" s="62"/>
      <c r="K33" s="62"/>
      <c r="L33" s="60"/>
      <c r="M33" s="62"/>
      <c r="N33" s="63"/>
    </row>
    <row r="34" spans="1:14" ht="15" x14ac:dyDescent="0.2">
      <c r="A34" s="52">
        <v>11202</v>
      </c>
      <c r="B34" s="168">
        <v>38726</v>
      </c>
      <c r="C34" s="171" t="s">
        <v>180</v>
      </c>
      <c r="D34" s="53" t="str">
        <f>VLOOKUP(A34,'Master Akun'!A6:E97,2,)</f>
        <v>Bank Mandiri</v>
      </c>
      <c r="E34" s="54"/>
      <c r="F34" s="55">
        <v>9800000</v>
      </c>
      <c r="G34" s="55"/>
      <c r="H34" s="54"/>
      <c r="I34" s="54"/>
      <c r="J34" s="56"/>
      <c r="K34" s="56"/>
      <c r="L34" s="54"/>
      <c r="M34" s="56"/>
      <c r="N34" s="57"/>
    </row>
    <row r="35" spans="1:14" ht="15" x14ac:dyDescent="0.2">
      <c r="A35" s="65">
        <v>43000</v>
      </c>
      <c r="B35" s="169"/>
      <c r="C35" s="169"/>
      <c r="D35" s="66" t="str">
        <f>VLOOKUP(A35,'Master Akun'!A7:E98,2,)</f>
        <v>Potongan Penjualan</v>
      </c>
      <c r="E35" s="33"/>
      <c r="F35" s="67">
        <v>200000</v>
      </c>
      <c r="G35" s="67"/>
      <c r="H35" s="33"/>
      <c r="I35" s="33"/>
      <c r="J35" s="68"/>
      <c r="K35" s="68"/>
      <c r="L35" s="33"/>
      <c r="M35" s="68"/>
      <c r="N35" s="69"/>
    </row>
    <row r="36" spans="1:14" ht="15.75" thickBot="1" x14ac:dyDescent="0.25">
      <c r="A36" s="58">
        <v>11301</v>
      </c>
      <c r="B36" s="170"/>
      <c r="C36" s="170"/>
      <c r="D36" s="59" t="str">
        <f>VLOOKUP(A36,'Master Akun'!A8:E99,2,)</f>
        <v xml:space="preserve">Piutang Usaha </v>
      </c>
      <c r="E36" s="60" t="s">
        <v>110</v>
      </c>
      <c r="F36" s="61"/>
      <c r="G36" s="61">
        <f>F35+F34</f>
        <v>10000000</v>
      </c>
      <c r="H36" s="60"/>
      <c r="I36" s="60"/>
      <c r="J36" s="62"/>
      <c r="K36" s="62"/>
      <c r="L36" s="60"/>
      <c r="M36" s="62"/>
      <c r="N36" s="63"/>
    </row>
    <row r="37" spans="1:14" ht="15" x14ac:dyDescent="0.2">
      <c r="A37" s="52">
        <v>61002</v>
      </c>
      <c r="B37" s="168">
        <v>38727</v>
      </c>
      <c r="C37" s="171" t="s">
        <v>181</v>
      </c>
      <c r="D37" s="53" t="str">
        <f>VLOOKUP(A37,'Master Akun'!A9:E100,2,)</f>
        <v>Beban Sewa</v>
      </c>
      <c r="E37" s="54"/>
      <c r="F37" s="55">
        <v>2500000</v>
      </c>
      <c r="G37" s="55"/>
      <c r="H37" s="54"/>
      <c r="I37" s="54"/>
      <c r="J37" s="56"/>
      <c r="K37" s="56"/>
      <c r="L37" s="54"/>
      <c r="M37" s="56"/>
      <c r="N37" s="57"/>
    </row>
    <row r="38" spans="1:14" ht="15" x14ac:dyDescent="0.2">
      <c r="A38" s="65">
        <v>11601</v>
      </c>
      <c r="B38" s="169"/>
      <c r="C38" s="169"/>
      <c r="D38" s="66" t="str">
        <f>VLOOKUP(A38,'Master Akun'!A10:E101,2,)</f>
        <v>PPN Masukan</v>
      </c>
      <c r="E38" s="33"/>
      <c r="F38" s="67">
        <v>250000</v>
      </c>
      <c r="G38" s="67"/>
      <c r="H38" s="33"/>
      <c r="I38" s="33"/>
      <c r="J38" s="68"/>
      <c r="K38" s="68"/>
      <c r="L38" s="33"/>
      <c r="M38" s="68"/>
      <c r="N38" s="69"/>
    </row>
    <row r="39" spans="1:14" ht="15" x14ac:dyDescent="0.2">
      <c r="A39" s="65">
        <v>11202</v>
      </c>
      <c r="B39" s="169"/>
      <c r="C39" s="169"/>
      <c r="D39" s="66" t="str">
        <f>VLOOKUP(A39,'Master Akun'!A11:E102,2,)</f>
        <v>Bank Mandiri</v>
      </c>
      <c r="E39" s="33"/>
      <c r="F39" s="67"/>
      <c r="G39" s="67">
        <v>2500000</v>
      </c>
      <c r="H39" s="33"/>
      <c r="I39" s="33"/>
      <c r="J39" s="68"/>
      <c r="K39" s="68"/>
      <c r="L39" s="33"/>
      <c r="M39" s="68"/>
      <c r="N39" s="69"/>
    </row>
    <row r="40" spans="1:14" ht="15.75" thickBot="1" x14ac:dyDescent="0.25">
      <c r="A40" s="58">
        <v>21402</v>
      </c>
      <c r="B40" s="170"/>
      <c r="C40" s="170"/>
      <c r="D40" s="59" t="str">
        <f>VLOOKUP(A40,'Master Akun'!A12:E103,2,)</f>
        <v>Utang PPh Pasal 4</v>
      </c>
      <c r="E40" s="60"/>
      <c r="F40" s="61"/>
      <c r="G40" s="61">
        <v>250000</v>
      </c>
      <c r="H40" s="60"/>
      <c r="I40" s="60"/>
      <c r="J40" s="62"/>
      <c r="K40" s="62"/>
      <c r="L40" s="60"/>
      <c r="M40" s="62"/>
      <c r="N40" s="63"/>
    </row>
    <row r="41" spans="1:14" ht="15" x14ac:dyDescent="0.2">
      <c r="A41" s="52">
        <v>42000</v>
      </c>
      <c r="B41" s="168">
        <v>38728</v>
      </c>
      <c r="C41" s="171" t="s">
        <v>182</v>
      </c>
      <c r="D41" s="53" t="str">
        <f>VLOOKUP(A41,'Master Akun'!A13:E104,2,)</f>
        <v>Retur Penjualan</v>
      </c>
      <c r="E41" s="54"/>
      <c r="F41" s="55">
        <v>375000</v>
      </c>
      <c r="G41" s="55"/>
      <c r="H41" s="54"/>
      <c r="I41" s="54"/>
      <c r="J41" s="56"/>
      <c r="K41" s="56"/>
      <c r="L41" s="54"/>
      <c r="M41" s="56"/>
      <c r="N41" s="57"/>
    </row>
    <row r="42" spans="1:14" ht="15" x14ac:dyDescent="0.2">
      <c r="A42" s="65">
        <v>21403</v>
      </c>
      <c r="B42" s="169"/>
      <c r="C42" s="169"/>
      <c r="D42" s="66" t="str">
        <f>VLOOKUP(A42,'Master Akun'!A14:E105,2,)</f>
        <v>PPn Keluaran</v>
      </c>
      <c r="E42" s="33"/>
      <c r="F42" s="67">
        <v>37500</v>
      </c>
      <c r="G42" s="67"/>
      <c r="H42" s="33"/>
      <c r="I42" s="33"/>
      <c r="J42" s="68"/>
      <c r="K42" s="68"/>
      <c r="L42" s="33"/>
      <c r="M42" s="68"/>
      <c r="N42" s="69"/>
    </row>
    <row r="43" spans="1:14" ht="15" x14ac:dyDescent="0.2">
      <c r="A43" s="65">
        <v>11101</v>
      </c>
      <c r="B43" s="169"/>
      <c r="C43" s="169"/>
      <c r="D43" s="66" t="str">
        <f>VLOOKUP(A43,'Master Akun'!A1:E106,2,)</f>
        <v>Kas Di tangan</v>
      </c>
      <c r="E43" s="33"/>
      <c r="F43" s="67"/>
      <c r="G43" s="67">
        <v>412500</v>
      </c>
      <c r="H43" s="33"/>
      <c r="I43" s="33"/>
      <c r="J43" s="68"/>
      <c r="K43" s="68"/>
      <c r="L43" s="33"/>
      <c r="M43" s="68"/>
      <c r="N43" s="69"/>
    </row>
    <row r="44" spans="1:14" ht="15" x14ac:dyDescent="0.2">
      <c r="A44" s="65">
        <v>11500</v>
      </c>
      <c r="B44" s="169"/>
      <c r="C44" s="169"/>
      <c r="D44" s="66" t="str">
        <f>VLOOKUP(A44,'Master Akun'!A2:E107,2,)</f>
        <v>PERSEDIAAN BARANG DAGANGAN</v>
      </c>
      <c r="E44" s="33"/>
      <c r="F44" s="67">
        <v>325000</v>
      </c>
      <c r="G44" s="67"/>
      <c r="H44" s="33" t="s">
        <v>83</v>
      </c>
      <c r="I44" s="33"/>
      <c r="J44" s="68"/>
      <c r="K44" s="68"/>
      <c r="L44" s="33">
        <v>-1</v>
      </c>
      <c r="M44" s="67">
        <v>325000</v>
      </c>
      <c r="N44" s="78">
        <f>M44*L44</f>
        <v>-325000</v>
      </c>
    </row>
    <row r="45" spans="1:14" ht="15.75" thickBot="1" x14ac:dyDescent="0.25">
      <c r="A45" s="58">
        <v>51000</v>
      </c>
      <c r="B45" s="170"/>
      <c r="C45" s="170"/>
      <c r="D45" s="59" t="str">
        <f>VLOOKUP(A45,'Master Akun'!A3:E108,2,)</f>
        <v>Harga Pokok Penjualan</v>
      </c>
      <c r="E45" s="60"/>
      <c r="F45" s="61"/>
      <c r="G45" s="61">
        <v>325000</v>
      </c>
      <c r="H45" s="60"/>
      <c r="I45" s="60"/>
      <c r="J45" s="62"/>
      <c r="K45" s="62"/>
      <c r="L45" s="60"/>
      <c r="M45" s="62"/>
      <c r="N45" s="63"/>
    </row>
    <row r="46" spans="1:14" ht="15" x14ac:dyDescent="0.2">
      <c r="A46" s="52">
        <v>11202</v>
      </c>
      <c r="B46" s="168">
        <v>38730</v>
      </c>
      <c r="C46" s="171" t="s">
        <v>183</v>
      </c>
      <c r="D46" s="53" t="str">
        <f>VLOOKUP(A46,'Master Akun'!A4:E109,2,)</f>
        <v>Bank Mandiri</v>
      </c>
      <c r="E46" s="54"/>
      <c r="F46" s="55">
        <v>7500000</v>
      </c>
      <c r="G46" s="55"/>
      <c r="H46" s="54"/>
      <c r="I46" s="54"/>
      <c r="J46" s="56"/>
      <c r="K46" s="56"/>
      <c r="L46" s="54"/>
      <c r="M46" s="56"/>
      <c r="N46" s="57"/>
    </row>
    <row r="47" spans="1:14" ht="15.75" thickBot="1" x14ac:dyDescent="0.25">
      <c r="A47" s="58">
        <v>11301</v>
      </c>
      <c r="B47" s="170"/>
      <c r="C47" s="170"/>
      <c r="D47" s="59" t="str">
        <f>VLOOKUP(A47,'Master Akun'!A5:E110,2,)</f>
        <v xml:space="preserve">Piutang Usaha </v>
      </c>
      <c r="E47" s="60" t="s">
        <v>117</v>
      </c>
      <c r="F47" s="61"/>
      <c r="G47" s="61">
        <v>7500000</v>
      </c>
      <c r="H47" s="60"/>
      <c r="I47" s="60"/>
      <c r="J47" s="62"/>
      <c r="K47" s="62"/>
      <c r="L47" s="60"/>
      <c r="M47" s="62"/>
      <c r="N47" s="63"/>
    </row>
    <row r="48" spans="1:14" ht="15" x14ac:dyDescent="0.2">
      <c r="A48" s="52">
        <v>61004</v>
      </c>
      <c r="B48" s="168">
        <v>38735</v>
      </c>
      <c r="C48" s="171" t="s">
        <v>184</v>
      </c>
      <c r="D48" s="53" t="str">
        <f>VLOOKUP(A48,'Master Akun'!A6:E111,2,)</f>
        <v>Beban Listrik</v>
      </c>
      <c r="E48" s="54"/>
      <c r="F48" s="55">
        <v>175000</v>
      </c>
      <c r="G48" s="55"/>
      <c r="H48" s="54"/>
      <c r="I48" s="54"/>
      <c r="J48" s="56"/>
      <c r="K48" s="56"/>
      <c r="L48" s="54"/>
      <c r="M48" s="56"/>
      <c r="N48" s="57"/>
    </row>
    <row r="49" spans="1:14" ht="15" x14ac:dyDescent="0.2">
      <c r="A49" s="65">
        <v>61005</v>
      </c>
      <c r="B49" s="169"/>
      <c r="C49" s="169"/>
      <c r="D49" s="66" t="str">
        <f>VLOOKUP(A49,'Master Akun'!A7:E112,2,)</f>
        <v>Beban Telepon</v>
      </c>
      <c r="E49" s="33"/>
      <c r="F49" s="67">
        <v>212500</v>
      </c>
      <c r="G49" s="67"/>
      <c r="H49" s="33"/>
      <c r="I49" s="33"/>
      <c r="J49" s="68"/>
      <c r="K49" s="68"/>
      <c r="L49" s="33"/>
      <c r="M49" s="68"/>
      <c r="N49" s="69"/>
    </row>
    <row r="50" spans="1:14" ht="15.75" thickBot="1" x14ac:dyDescent="0.25">
      <c r="A50" s="72">
        <v>11202</v>
      </c>
      <c r="B50" s="169"/>
      <c r="C50" s="169"/>
      <c r="D50" s="73" t="str">
        <f>VLOOKUP(A50,'Master Akun'!A8:E113,2,)</f>
        <v>Bank Mandiri</v>
      </c>
      <c r="E50" s="74"/>
      <c r="F50" s="75"/>
      <c r="G50" s="75">
        <v>387500</v>
      </c>
      <c r="H50" s="74"/>
      <c r="I50" s="74"/>
      <c r="J50" s="76"/>
      <c r="K50" s="76"/>
      <c r="L50" s="74"/>
      <c r="M50" s="76"/>
      <c r="N50" s="77"/>
    </row>
    <row r="51" spans="1:14" ht="15" x14ac:dyDescent="0.2">
      <c r="A51" s="52">
        <v>12201</v>
      </c>
      <c r="B51" s="172">
        <v>38738</v>
      </c>
      <c r="C51" s="174" t="s">
        <v>185</v>
      </c>
      <c r="D51" s="53" t="str">
        <f>VLOOKUP(A51,'Master Akun'!A9:E114,2,)</f>
        <v>Kendaraan</v>
      </c>
      <c r="E51" s="54"/>
      <c r="F51" s="55">
        <v>11500000</v>
      </c>
      <c r="G51" s="55"/>
      <c r="H51" s="54"/>
      <c r="I51" s="54"/>
      <c r="J51" s="56"/>
      <c r="K51" s="56"/>
      <c r="L51" s="54"/>
      <c r="M51" s="56"/>
      <c r="N51" s="57"/>
    </row>
    <row r="52" spans="1:14" ht="15.75" thickBot="1" x14ac:dyDescent="0.25">
      <c r="A52" s="58">
        <v>11201</v>
      </c>
      <c r="B52" s="173"/>
      <c r="C52" s="173"/>
      <c r="D52" s="59" t="str">
        <f>VLOOKUP(A52,'Master Akun'!A10:E115,2,)</f>
        <v>Bank BCA</v>
      </c>
      <c r="E52" s="60"/>
      <c r="F52" s="61"/>
      <c r="G52" s="61">
        <v>11500000</v>
      </c>
      <c r="H52" s="60"/>
      <c r="I52" s="60"/>
      <c r="J52" s="62"/>
      <c r="K52" s="62"/>
      <c r="L52" s="60"/>
      <c r="M52" s="62"/>
      <c r="N52" s="63"/>
    </row>
    <row r="53" spans="1:14" ht="15" x14ac:dyDescent="0.2">
      <c r="A53" s="52">
        <v>11301</v>
      </c>
      <c r="B53" s="168">
        <v>38739</v>
      </c>
      <c r="C53" s="171" t="s">
        <v>186</v>
      </c>
      <c r="D53" s="53" t="str">
        <f>VLOOKUP(A53,'Master Akun'!A11:E116,2,)</f>
        <v xml:space="preserve">Piutang Usaha </v>
      </c>
      <c r="E53" s="54" t="s">
        <v>114</v>
      </c>
      <c r="F53" s="55">
        <v>29425000</v>
      </c>
      <c r="G53" s="55"/>
      <c r="H53" s="54"/>
      <c r="I53" s="54"/>
      <c r="J53" s="56"/>
      <c r="K53" s="56"/>
      <c r="L53" s="54"/>
      <c r="M53" s="56"/>
      <c r="N53" s="57"/>
    </row>
    <row r="54" spans="1:14" ht="15" x14ac:dyDescent="0.2">
      <c r="A54" s="65">
        <v>41000</v>
      </c>
      <c r="B54" s="169"/>
      <c r="C54" s="169"/>
      <c r="D54" s="66" t="str">
        <f>VLOOKUP(A54,'Master Akun'!A12:E117,2,)</f>
        <v>Penjualan</v>
      </c>
      <c r="E54" s="33"/>
      <c r="F54" s="67"/>
      <c r="G54" s="67">
        <v>26750000</v>
      </c>
      <c r="H54" s="33"/>
      <c r="I54" s="33"/>
      <c r="J54" s="68"/>
      <c r="K54" s="68"/>
      <c r="L54" s="33"/>
      <c r="M54" s="68"/>
      <c r="N54" s="69"/>
    </row>
    <row r="55" spans="1:14" ht="15" x14ac:dyDescent="0.2">
      <c r="A55" s="65">
        <v>21403</v>
      </c>
      <c r="B55" s="169"/>
      <c r="C55" s="169"/>
      <c r="D55" s="66" t="str">
        <f>VLOOKUP(A55,'Master Akun'!A13:E118,2,)</f>
        <v>PPn Keluaran</v>
      </c>
      <c r="E55" s="33"/>
      <c r="F55" s="67"/>
      <c r="G55" s="67">
        <v>2675000</v>
      </c>
      <c r="H55" s="33"/>
      <c r="I55" s="33"/>
      <c r="J55" s="68"/>
      <c r="K55" s="68"/>
      <c r="L55" s="33"/>
      <c r="M55" s="68"/>
      <c r="N55" s="69"/>
    </row>
    <row r="56" spans="1:14" ht="15" x14ac:dyDescent="0.2">
      <c r="A56" s="65">
        <v>51000</v>
      </c>
      <c r="B56" s="169"/>
      <c r="C56" s="169"/>
      <c r="D56" s="66" t="str">
        <f>VLOOKUP(A56,'Master Akun'!A14:E119,2,)</f>
        <v>Harga Pokok Penjualan</v>
      </c>
      <c r="E56" s="33"/>
      <c r="F56" s="67">
        <f>SUM(G57:G59)</f>
        <v>21940000</v>
      </c>
      <c r="G56" s="67"/>
      <c r="H56" s="33"/>
      <c r="I56" s="33"/>
      <c r="J56" s="68"/>
      <c r="K56" s="68"/>
      <c r="L56" s="33"/>
      <c r="M56" s="68"/>
      <c r="N56" s="69"/>
    </row>
    <row r="57" spans="1:14" ht="15" x14ac:dyDescent="0.2">
      <c r="A57" s="65">
        <v>11500</v>
      </c>
      <c r="B57" s="169"/>
      <c r="C57" s="169"/>
      <c r="D57" s="66" t="str">
        <f>VLOOKUP(A57,'Master Akun'!A1:E120,2,)</f>
        <v>PERSEDIAAN BARANG DAGANGAN</v>
      </c>
      <c r="E57" s="33"/>
      <c r="F57" s="67"/>
      <c r="G57" s="67">
        <f>N57</f>
        <v>7000000</v>
      </c>
      <c r="H57" s="33" t="s">
        <v>85</v>
      </c>
      <c r="I57" s="33"/>
      <c r="J57" s="68"/>
      <c r="K57" s="68"/>
      <c r="L57" s="33">
        <v>5</v>
      </c>
      <c r="M57" s="67">
        <v>1400000</v>
      </c>
      <c r="N57" s="78">
        <f>M57*L57</f>
        <v>7000000</v>
      </c>
    </row>
    <row r="58" spans="1:14" ht="15" x14ac:dyDescent="0.2">
      <c r="A58" s="65">
        <v>11500</v>
      </c>
      <c r="B58" s="169"/>
      <c r="C58" s="169"/>
      <c r="D58" s="66" t="str">
        <f>VLOOKUP(A58,'Master Akun'!A2:E121,2,)</f>
        <v>PERSEDIAAN BARANG DAGANGAN</v>
      </c>
      <c r="E58" s="33"/>
      <c r="F58" s="67"/>
      <c r="G58" s="67">
        <f>N58</f>
        <v>11400000</v>
      </c>
      <c r="H58" s="33" t="s">
        <v>89</v>
      </c>
      <c r="I58" s="33"/>
      <c r="J58" s="68"/>
      <c r="K58" s="68"/>
      <c r="L58" s="33">
        <v>4</v>
      </c>
      <c r="M58" s="67">
        <v>2850000</v>
      </c>
      <c r="N58" s="78">
        <f>M58*L58</f>
        <v>11400000</v>
      </c>
    </row>
    <row r="59" spans="1:14" ht="15.75" thickBot="1" x14ac:dyDescent="0.25">
      <c r="A59" s="58">
        <v>11500</v>
      </c>
      <c r="B59" s="170"/>
      <c r="C59" s="170"/>
      <c r="D59" s="59" t="str">
        <f>VLOOKUP(A59,'Master Akun'!A3:E122,2,)</f>
        <v>PERSEDIAAN BARANG DAGANGAN</v>
      </c>
      <c r="E59" s="60"/>
      <c r="F59" s="61"/>
      <c r="G59" s="61">
        <f>N59</f>
        <v>3540000</v>
      </c>
      <c r="H59" s="60" t="s">
        <v>91</v>
      </c>
      <c r="I59" s="60"/>
      <c r="J59" s="62"/>
      <c r="K59" s="62"/>
      <c r="L59" s="60">
        <v>6</v>
      </c>
      <c r="M59" s="61">
        <v>590000</v>
      </c>
      <c r="N59" s="79">
        <f>M59*L59</f>
        <v>3540000</v>
      </c>
    </row>
    <row r="60" spans="1:14" ht="15" x14ac:dyDescent="0.2">
      <c r="A60" s="52">
        <v>11202</v>
      </c>
      <c r="B60" s="168">
        <v>38740</v>
      </c>
      <c r="C60" s="171" t="s">
        <v>187</v>
      </c>
      <c r="D60" s="53" t="str">
        <f>VLOOKUP(A60,'Master Akun'!A4:E123,2,)</f>
        <v>Bank Mandiri</v>
      </c>
      <c r="E60" s="54"/>
      <c r="F60" s="55">
        <v>10000000</v>
      </c>
      <c r="G60" s="55"/>
      <c r="H60" s="54"/>
      <c r="I60" s="54"/>
      <c r="J60" s="56"/>
      <c r="K60" s="56"/>
      <c r="L60" s="54"/>
      <c r="M60" s="56"/>
      <c r="N60" s="57"/>
    </row>
    <row r="61" spans="1:14" ht="15" x14ac:dyDescent="0.2">
      <c r="A61" s="65">
        <v>11301</v>
      </c>
      <c r="B61" s="169"/>
      <c r="C61" s="169"/>
      <c r="D61" s="66" t="str">
        <f>VLOOKUP(A61,'Master Akun'!A5:E124,2,)</f>
        <v xml:space="preserve">Piutang Usaha </v>
      </c>
      <c r="E61" s="33" t="s">
        <v>110</v>
      </c>
      <c r="F61" s="67">
        <v>30535000</v>
      </c>
      <c r="G61" s="67"/>
      <c r="H61" s="33"/>
      <c r="I61" s="33"/>
      <c r="J61" s="68"/>
      <c r="K61" s="68"/>
      <c r="L61" s="33"/>
      <c r="M61" s="68"/>
      <c r="N61" s="69"/>
    </row>
    <row r="62" spans="1:14" ht="15" x14ac:dyDescent="0.2">
      <c r="A62" s="65">
        <v>41000</v>
      </c>
      <c r="B62" s="169"/>
      <c r="C62" s="169"/>
      <c r="D62" s="66" t="str">
        <f>VLOOKUP(A62,'Master Akun'!A6:E125,2,)</f>
        <v>Penjualan</v>
      </c>
      <c r="E62" s="33"/>
      <c r="F62" s="67"/>
      <c r="G62" s="67">
        <v>36850000</v>
      </c>
      <c r="H62" s="33"/>
      <c r="I62" s="33"/>
      <c r="J62" s="68"/>
      <c r="K62" s="68"/>
      <c r="L62" s="33"/>
      <c r="M62" s="68"/>
      <c r="N62" s="69"/>
    </row>
    <row r="63" spans="1:14" ht="15" x14ac:dyDescent="0.2">
      <c r="A63" s="65">
        <v>21403</v>
      </c>
      <c r="B63" s="169"/>
      <c r="C63" s="169"/>
      <c r="D63" s="66" t="str">
        <f>VLOOKUP(A63,'Master Akun'!A7:E126,2,)</f>
        <v>PPn Keluaran</v>
      </c>
      <c r="E63" s="33"/>
      <c r="F63" s="67"/>
      <c r="G63" s="67">
        <v>3685000</v>
      </c>
      <c r="H63" s="33"/>
      <c r="I63" s="33"/>
      <c r="J63" s="68"/>
      <c r="K63" s="68"/>
      <c r="L63" s="33"/>
      <c r="M63" s="68"/>
      <c r="N63" s="69"/>
    </row>
    <row r="64" spans="1:14" ht="15" x14ac:dyDescent="0.2">
      <c r="A64" s="65">
        <v>51000</v>
      </c>
      <c r="B64" s="169"/>
      <c r="C64" s="169"/>
      <c r="D64" s="66" t="str">
        <f>VLOOKUP(A64,'Master Akun'!A8:E127,2,)</f>
        <v>Harga Pokok Penjualan</v>
      </c>
      <c r="E64" s="33"/>
      <c r="F64" s="67">
        <f>SUM(G65:G67)</f>
        <v>29150000</v>
      </c>
      <c r="G64" s="67"/>
      <c r="H64" s="33"/>
      <c r="I64" s="33"/>
      <c r="J64" s="68"/>
      <c r="K64" s="68"/>
      <c r="L64" s="33"/>
      <c r="M64" s="68"/>
      <c r="N64" s="69"/>
    </row>
    <row r="65" spans="1:14" ht="15" x14ac:dyDescent="0.2">
      <c r="A65" s="65">
        <v>11500</v>
      </c>
      <c r="B65" s="169"/>
      <c r="C65" s="169"/>
      <c r="D65" s="66" t="str">
        <f>VLOOKUP(A65,'Master Akun'!A9:E128,2,)</f>
        <v>PERSEDIAAN BARANG DAGANGAN</v>
      </c>
      <c r="E65" s="33"/>
      <c r="F65" s="67"/>
      <c r="G65" s="67">
        <f>N65</f>
        <v>7800000</v>
      </c>
      <c r="H65" s="33" t="s">
        <v>93</v>
      </c>
      <c r="I65" s="33"/>
      <c r="J65" s="68"/>
      <c r="K65" s="68"/>
      <c r="L65" s="33">
        <v>6</v>
      </c>
      <c r="M65" s="67">
        <v>1300000</v>
      </c>
      <c r="N65" s="78">
        <f>M65*L65</f>
        <v>7800000</v>
      </c>
    </row>
    <row r="66" spans="1:14" ht="15" x14ac:dyDescent="0.2">
      <c r="A66" s="65">
        <v>11500</v>
      </c>
      <c r="B66" s="169"/>
      <c r="C66" s="169"/>
      <c r="D66" s="66" t="str">
        <f>VLOOKUP(A66,'Master Akun'!A10:E129,2,)</f>
        <v>PERSEDIAAN BARANG DAGANGAN</v>
      </c>
      <c r="E66" s="33"/>
      <c r="F66" s="67"/>
      <c r="G66" s="67">
        <f>N66</f>
        <v>14000000</v>
      </c>
      <c r="H66" s="33" t="s">
        <v>95</v>
      </c>
      <c r="I66" s="33"/>
      <c r="J66" s="68"/>
      <c r="K66" s="68"/>
      <c r="L66" s="33">
        <v>8</v>
      </c>
      <c r="M66" s="67">
        <v>1750000</v>
      </c>
      <c r="N66" s="78">
        <f>M66*L66</f>
        <v>14000000</v>
      </c>
    </row>
    <row r="67" spans="1:14" ht="15.75" thickBot="1" x14ac:dyDescent="0.25">
      <c r="A67" s="58">
        <v>11500</v>
      </c>
      <c r="B67" s="170"/>
      <c r="C67" s="170"/>
      <c r="D67" s="59" t="str">
        <f>VLOOKUP(A67,'Master Akun'!A11:E130,2,)</f>
        <v>PERSEDIAAN BARANG DAGANGAN</v>
      </c>
      <c r="E67" s="60"/>
      <c r="F67" s="61"/>
      <c r="G67" s="61">
        <f>N67</f>
        <v>7350000</v>
      </c>
      <c r="H67" s="60" t="s">
        <v>97</v>
      </c>
      <c r="I67" s="60"/>
      <c r="J67" s="62"/>
      <c r="K67" s="62"/>
      <c r="L67" s="60">
        <v>7</v>
      </c>
      <c r="M67" s="61">
        <v>1050000</v>
      </c>
      <c r="N67" s="79">
        <f>M67*L67</f>
        <v>7350000</v>
      </c>
    </row>
    <row r="68" spans="1:14" ht="15" x14ac:dyDescent="0.2">
      <c r="A68" s="52">
        <v>42000</v>
      </c>
      <c r="B68" s="168">
        <v>38741</v>
      </c>
      <c r="C68" s="171" t="s">
        <v>188</v>
      </c>
      <c r="D68" s="53" t="str">
        <f>VLOOKUP(A68,'Master Akun'!A12:E131,2,)</f>
        <v>Retur Penjualan</v>
      </c>
      <c r="E68" s="54"/>
      <c r="F68" s="55">
        <v>1750000</v>
      </c>
      <c r="G68" s="55"/>
      <c r="H68" s="54"/>
      <c r="I68" s="54"/>
      <c r="J68" s="56"/>
      <c r="K68" s="56"/>
      <c r="L68" s="54"/>
      <c r="M68" s="56"/>
      <c r="N68" s="57"/>
    </row>
    <row r="69" spans="1:14" ht="15" x14ac:dyDescent="0.2">
      <c r="A69" s="65">
        <v>21403</v>
      </c>
      <c r="B69" s="169"/>
      <c r="C69" s="169"/>
      <c r="D69" s="66" t="str">
        <f>VLOOKUP(A69,'Master Akun'!A13:E132,2,)</f>
        <v>PPn Keluaran</v>
      </c>
      <c r="E69" s="33"/>
      <c r="F69" s="67">
        <v>175000</v>
      </c>
      <c r="G69" s="67"/>
      <c r="H69" s="33"/>
      <c r="I69" s="33"/>
      <c r="J69" s="68"/>
      <c r="K69" s="68"/>
      <c r="L69" s="33"/>
      <c r="M69" s="68"/>
      <c r="N69" s="69"/>
    </row>
    <row r="70" spans="1:14" ht="15" x14ac:dyDescent="0.2">
      <c r="A70" s="65">
        <v>11301</v>
      </c>
      <c r="B70" s="169"/>
      <c r="C70" s="169"/>
      <c r="D70" s="66" t="str">
        <f>VLOOKUP(A70,'Master Akun'!A14:E133,2,)</f>
        <v xml:space="preserve">Piutang Usaha </v>
      </c>
      <c r="E70" s="33" t="s">
        <v>114</v>
      </c>
      <c r="F70" s="67"/>
      <c r="G70" s="67">
        <f>F69+F68</f>
        <v>1925000</v>
      </c>
      <c r="H70" s="33"/>
      <c r="I70" s="33"/>
      <c r="J70" s="68"/>
      <c r="K70" s="68"/>
      <c r="L70" s="33"/>
      <c r="M70" s="68"/>
      <c r="N70" s="69"/>
    </row>
    <row r="71" spans="1:14" ht="15" x14ac:dyDescent="0.2">
      <c r="A71" s="65">
        <v>11500</v>
      </c>
      <c r="B71" s="169"/>
      <c r="C71" s="169"/>
      <c r="D71" s="66" t="str">
        <f>VLOOKUP(A71,'Master Akun'!A15:E134,2,)</f>
        <v>PERSEDIAAN BARANG DAGANGAN</v>
      </c>
      <c r="E71" s="33"/>
      <c r="F71" s="67">
        <v>1400000</v>
      </c>
      <c r="G71" s="67"/>
      <c r="H71" s="33" t="s">
        <v>85</v>
      </c>
      <c r="I71" s="33"/>
      <c r="J71" s="68"/>
      <c r="K71" s="68"/>
      <c r="L71" s="33">
        <v>-1</v>
      </c>
      <c r="M71" s="67">
        <v>1400000</v>
      </c>
      <c r="N71" s="78">
        <f>M71*L71</f>
        <v>-1400000</v>
      </c>
    </row>
    <row r="72" spans="1:14" ht="15.75" thickBot="1" x14ac:dyDescent="0.25">
      <c r="A72" s="58">
        <v>51000</v>
      </c>
      <c r="B72" s="170"/>
      <c r="C72" s="170"/>
      <c r="D72" s="59" t="str">
        <f>VLOOKUP(A72,'Master Akun'!A16:E135,2,)</f>
        <v>Harga Pokok Penjualan</v>
      </c>
      <c r="E72" s="60"/>
      <c r="F72" s="61"/>
      <c r="G72" s="61">
        <v>1400000</v>
      </c>
      <c r="H72" s="60"/>
      <c r="I72" s="60"/>
      <c r="J72" s="62"/>
      <c r="K72" s="62"/>
      <c r="L72" s="60"/>
      <c r="M72" s="62"/>
      <c r="N72" s="63"/>
    </row>
    <row r="73" spans="1:14" ht="15" x14ac:dyDescent="0.2">
      <c r="A73" s="52">
        <v>11202</v>
      </c>
      <c r="B73" s="168">
        <v>38743</v>
      </c>
      <c r="C73" s="171" t="s">
        <v>189</v>
      </c>
      <c r="D73" s="53" t="str">
        <f>VLOOKUP(A73,'Master Akun'!A1:E136,2,)</f>
        <v>Bank Mandiri</v>
      </c>
      <c r="E73" s="54"/>
      <c r="F73" s="55">
        <f>G75+G76-F74</f>
        <v>30049000</v>
      </c>
      <c r="G73" s="55"/>
      <c r="H73" s="54"/>
      <c r="I73" s="54"/>
      <c r="J73" s="56"/>
      <c r="K73" s="56"/>
      <c r="L73" s="54"/>
      <c r="M73" s="56"/>
      <c r="N73" s="57"/>
    </row>
    <row r="74" spans="1:14" ht="15" x14ac:dyDescent="0.2">
      <c r="A74" s="65">
        <v>43000</v>
      </c>
      <c r="B74" s="169"/>
      <c r="C74" s="169"/>
      <c r="D74" s="66" t="str">
        <f>VLOOKUP(A74,'Master Akun'!A2:E137,2,)</f>
        <v>Potongan Penjualan</v>
      </c>
      <c r="E74" s="33"/>
      <c r="F74" s="67">
        <v>1510000</v>
      </c>
      <c r="G74" s="67"/>
      <c r="H74" s="33"/>
      <c r="I74" s="33"/>
      <c r="J74" s="68"/>
      <c r="K74" s="68"/>
      <c r="L74" s="33"/>
      <c r="M74" s="68"/>
      <c r="N74" s="69"/>
    </row>
    <row r="75" spans="1:14" ht="15" x14ac:dyDescent="0.2">
      <c r="A75" s="65">
        <v>41000</v>
      </c>
      <c r="B75" s="169"/>
      <c r="C75" s="169"/>
      <c r="D75" s="66" t="str">
        <f>VLOOKUP(A75,'Master Akun'!A3:E138,2,)</f>
        <v>Penjualan</v>
      </c>
      <c r="E75" s="33"/>
      <c r="F75" s="67"/>
      <c r="G75" s="67">
        <v>28690000</v>
      </c>
      <c r="H75" s="33"/>
      <c r="I75" s="33"/>
      <c r="J75" s="68"/>
      <c r="K75" s="68"/>
      <c r="L75" s="33"/>
      <c r="M75" s="68"/>
      <c r="N75" s="69"/>
    </row>
    <row r="76" spans="1:14" ht="15" x14ac:dyDescent="0.2">
      <c r="A76" s="65">
        <v>21403</v>
      </c>
      <c r="B76" s="169"/>
      <c r="C76" s="169"/>
      <c r="D76" s="66" t="str">
        <f>VLOOKUP(A76,'Master Akun'!A4:E139,2,)</f>
        <v>PPn Keluaran</v>
      </c>
      <c r="E76" s="33"/>
      <c r="F76" s="67"/>
      <c r="G76" s="67">
        <v>2869000</v>
      </c>
      <c r="H76" s="33"/>
      <c r="I76" s="33"/>
      <c r="J76" s="68"/>
      <c r="K76" s="68"/>
      <c r="L76" s="33"/>
      <c r="M76" s="68"/>
      <c r="N76" s="69"/>
    </row>
    <row r="77" spans="1:14" ht="15" x14ac:dyDescent="0.2">
      <c r="A77" s="65">
        <v>51000</v>
      </c>
      <c r="B77" s="169"/>
      <c r="C77" s="169"/>
      <c r="D77" s="66" t="str">
        <f>VLOOKUP(A77,'Master Akun'!A5:E140,2,)</f>
        <v>Harga Pokok Penjualan</v>
      </c>
      <c r="E77" s="33"/>
      <c r="F77" s="67">
        <f>SUM(G78:G80)</f>
        <v>24250000</v>
      </c>
      <c r="G77" s="67"/>
      <c r="H77" s="33"/>
      <c r="I77" s="33"/>
      <c r="J77" s="68"/>
      <c r="K77" s="68"/>
      <c r="L77" s="33"/>
      <c r="M77" s="68"/>
      <c r="N77" s="69"/>
    </row>
    <row r="78" spans="1:14" ht="15" x14ac:dyDescent="0.2">
      <c r="A78" s="65">
        <v>11500</v>
      </c>
      <c r="B78" s="169"/>
      <c r="C78" s="169"/>
      <c r="D78" s="66" t="str">
        <f>VLOOKUP(A78,'Master Akun'!A6:E141,2,)</f>
        <v>PERSEDIAAN BARANG DAGANGAN</v>
      </c>
      <c r="E78" s="33"/>
      <c r="F78" s="67"/>
      <c r="G78" s="67">
        <f>N78</f>
        <v>11200000</v>
      </c>
      <c r="H78" s="33" t="s">
        <v>85</v>
      </c>
      <c r="I78" s="33"/>
      <c r="J78" s="68"/>
      <c r="K78" s="68"/>
      <c r="L78" s="33">
        <v>8</v>
      </c>
      <c r="M78" s="67">
        <v>1400000</v>
      </c>
      <c r="N78" s="78">
        <f>M78*L78</f>
        <v>11200000</v>
      </c>
    </row>
    <row r="79" spans="1:14" ht="15" x14ac:dyDescent="0.2">
      <c r="A79" s="65">
        <v>11500</v>
      </c>
      <c r="B79" s="169"/>
      <c r="C79" s="169"/>
      <c r="D79" s="66" t="str">
        <f>VLOOKUP(A79,'Master Akun'!A7:E142,2,)</f>
        <v>PERSEDIAAN BARANG DAGANGAN</v>
      </c>
      <c r="E79" s="33"/>
      <c r="F79" s="67"/>
      <c r="G79" s="67">
        <f>N79</f>
        <v>7800000</v>
      </c>
      <c r="H79" s="33" t="s">
        <v>93</v>
      </c>
      <c r="I79" s="33"/>
      <c r="J79" s="68"/>
      <c r="K79" s="68"/>
      <c r="L79" s="33">
        <v>6</v>
      </c>
      <c r="M79" s="67">
        <v>1300000</v>
      </c>
      <c r="N79" s="78">
        <f>M79*L79</f>
        <v>7800000</v>
      </c>
    </row>
    <row r="80" spans="1:14" ht="15.75" thickBot="1" x14ac:dyDescent="0.25">
      <c r="A80" s="58">
        <v>11500</v>
      </c>
      <c r="B80" s="170"/>
      <c r="C80" s="170"/>
      <c r="D80" s="59" t="str">
        <f>VLOOKUP(A80,'Master Akun'!A8:E143,2,)</f>
        <v>PERSEDIAAN BARANG DAGANGAN</v>
      </c>
      <c r="E80" s="60"/>
      <c r="F80" s="61"/>
      <c r="G80" s="61">
        <f>N80</f>
        <v>5250000</v>
      </c>
      <c r="H80" s="60" t="s">
        <v>95</v>
      </c>
      <c r="I80" s="60"/>
      <c r="J80" s="62"/>
      <c r="K80" s="62"/>
      <c r="L80" s="60">
        <v>3</v>
      </c>
      <c r="M80" s="61">
        <v>1750000</v>
      </c>
      <c r="N80" s="79">
        <f>M80*L80</f>
        <v>5250000</v>
      </c>
    </row>
    <row r="81" spans="1:14" ht="15" x14ac:dyDescent="0.2">
      <c r="A81" s="52">
        <v>11401</v>
      </c>
      <c r="B81" s="168">
        <v>38744</v>
      </c>
      <c r="C81" s="171" t="s">
        <v>190</v>
      </c>
      <c r="D81" s="53" t="str">
        <f>VLOOKUP(A81,'Master Akun'!A9:E144,2,)</f>
        <v>Piutang Karyawan</v>
      </c>
      <c r="E81" s="54"/>
      <c r="F81" s="55">
        <v>2500000</v>
      </c>
      <c r="G81" s="55"/>
      <c r="H81" s="54"/>
      <c r="I81" s="54"/>
      <c r="J81" s="56"/>
      <c r="K81" s="56"/>
      <c r="L81" s="54"/>
      <c r="M81" s="56"/>
      <c r="N81" s="57"/>
    </row>
    <row r="82" spans="1:14" ht="15.75" thickBot="1" x14ac:dyDescent="0.25">
      <c r="A82" s="58">
        <v>11201</v>
      </c>
      <c r="B82" s="170"/>
      <c r="C82" s="170"/>
      <c r="D82" s="59" t="str">
        <f>VLOOKUP(A82,'Master Akun'!A10:E145,2,)</f>
        <v>Bank BCA</v>
      </c>
      <c r="E82" s="60"/>
      <c r="F82" s="61"/>
      <c r="G82" s="61">
        <v>2500000</v>
      </c>
      <c r="H82" s="60"/>
      <c r="I82" s="60"/>
      <c r="J82" s="62"/>
      <c r="K82" s="62"/>
      <c r="L82" s="60"/>
      <c r="M82" s="62"/>
      <c r="N82" s="63"/>
    </row>
    <row r="83" spans="1:14" ht="15" x14ac:dyDescent="0.2">
      <c r="A83" s="52">
        <v>21100</v>
      </c>
      <c r="B83" s="168">
        <v>38745</v>
      </c>
      <c r="C83" s="171" t="s">
        <v>191</v>
      </c>
      <c r="D83" s="53" t="str">
        <f>VLOOKUP(A83,'Master Akun'!A11:E146,2,)</f>
        <v>Hutang Usaha</v>
      </c>
      <c r="E83" s="54" t="s">
        <v>138</v>
      </c>
      <c r="F83" s="55">
        <v>22000000</v>
      </c>
      <c r="G83" s="55"/>
      <c r="H83" s="54"/>
      <c r="I83" s="54"/>
      <c r="J83" s="56"/>
      <c r="K83" s="56"/>
      <c r="L83" s="54"/>
      <c r="M83" s="56"/>
      <c r="N83" s="57"/>
    </row>
    <row r="84" spans="1:14" ht="15" x14ac:dyDescent="0.2">
      <c r="A84" s="65">
        <v>11201</v>
      </c>
      <c r="B84" s="169"/>
      <c r="C84" s="169"/>
      <c r="D84" s="66" t="str">
        <f>VLOOKUP(A84,'Master Akun'!A12:E147,2,)</f>
        <v>Bank BCA</v>
      </c>
      <c r="E84" s="33"/>
      <c r="F84" s="67"/>
      <c r="G84" s="67">
        <v>10000000</v>
      </c>
      <c r="H84" s="33"/>
      <c r="I84" s="33"/>
      <c r="J84" s="68"/>
      <c r="K84" s="68"/>
      <c r="L84" s="33"/>
      <c r="M84" s="68"/>
      <c r="N84" s="69"/>
    </row>
    <row r="85" spans="1:14" ht="15.75" thickBot="1" x14ac:dyDescent="0.25">
      <c r="A85" s="58">
        <v>11202</v>
      </c>
      <c r="B85" s="170"/>
      <c r="C85" s="170"/>
      <c r="D85" s="59" t="str">
        <f>VLOOKUP(A85,'Master Akun'!A13:E148,2,)</f>
        <v>Bank Mandiri</v>
      </c>
      <c r="E85" s="60"/>
      <c r="F85" s="61"/>
      <c r="G85" s="61">
        <v>12000000</v>
      </c>
      <c r="H85" s="60"/>
      <c r="I85" s="60"/>
      <c r="J85" s="62"/>
      <c r="K85" s="62"/>
      <c r="L85" s="60"/>
      <c r="M85" s="62"/>
      <c r="N85" s="63"/>
    </row>
    <row r="86" spans="1:14" ht="15" x14ac:dyDescent="0.2">
      <c r="A86" s="52">
        <v>61008</v>
      </c>
      <c r="B86" s="168">
        <v>38746</v>
      </c>
      <c r="C86" s="171" t="s">
        <v>192</v>
      </c>
      <c r="D86" s="53" t="str">
        <f>VLOOKUP(A86,'Master Akun'!A14:E149,2,)</f>
        <v>Beban Pemasaran</v>
      </c>
      <c r="E86" s="54"/>
      <c r="F86" s="55">
        <v>750000</v>
      </c>
      <c r="G86" s="55"/>
      <c r="H86" s="54"/>
      <c r="I86" s="54"/>
      <c r="J86" s="56"/>
      <c r="K86" s="56"/>
      <c r="L86" s="54"/>
      <c r="M86" s="56"/>
      <c r="N86" s="57"/>
    </row>
    <row r="87" spans="1:14" ht="15" x14ac:dyDescent="0.2">
      <c r="A87" s="65">
        <v>61009</v>
      </c>
      <c r="B87" s="169"/>
      <c r="C87" s="169"/>
      <c r="D87" s="66" t="str">
        <f>VLOOKUP(A87,'Master Akun'!A15:E150,2,)</f>
        <v>Beban Transportasi</v>
      </c>
      <c r="E87" s="33"/>
      <c r="F87" s="67">
        <v>250000</v>
      </c>
      <c r="G87" s="67"/>
      <c r="H87" s="33"/>
      <c r="I87" s="33"/>
      <c r="J87" s="68"/>
      <c r="K87" s="68"/>
      <c r="L87" s="33"/>
      <c r="M87" s="68"/>
      <c r="N87" s="69"/>
    </row>
    <row r="88" spans="1:14" ht="15" x14ac:dyDescent="0.2">
      <c r="A88" s="65">
        <v>61010</v>
      </c>
      <c r="B88" s="169"/>
      <c r="C88" s="169"/>
      <c r="D88" s="66" t="str">
        <f>VLOOKUP(A88,'Master Akun'!A16:E151,2,)</f>
        <v>Beban Perawatan AC</v>
      </c>
      <c r="E88" s="33"/>
      <c r="F88" s="67">
        <v>200000</v>
      </c>
      <c r="G88" s="67"/>
      <c r="H88" s="33"/>
      <c r="I88" s="33"/>
      <c r="J88" s="68"/>
      <c r="K88" s="68"/>
      <c r="L88" s="33"/>
      <c r="M88" s="68"/>
      <c r="N88" s="69"/>
    </row>
    <row r="89" spans="1:14" ht="15" x14ac:dyDescent="0.2">
      <c r="A89" s="65">
        <v>61011</v>
      </c>
      <c r="B89" s="169"/>
      <c r="C89" s="169"/>
      <c r="D89" s="66" t="str">
        <f>VLOOKUP(A89,'Master Akun'!A17:E152,2,)</f>
        <v>Beban Perlengkapan kantor</v>
      </c>
      <c r="E89" s="33"/>
      <c r="F89" s="67">
        <v>50000</v>
      </c>
      <c r="G89" s="67"/>
      <c r="H89" s="33"/>
      <c r="I89" s="33"/>
      <c r="J89" s="68"/>
      <c r="K89" s="68"/>
      <c r="L89" s="33"/>
      <c r="M89" s="68"/>
      <c r="N89" s="69"/>
    </row>
    <row r="90" spans="1:14" ht="15.75" thickBot="1" x14ac:dyDescent="0.25">
      <c r="A90" s="58">
        <v>11201</v>
      </c>
      <c r="B90" s="170"/>
      <c r="C90" s="170"/>
      <c r="D90" s="59" t="str">
        <f>VLOOKUP(A90,'Master Akun'!A11:E153,2,)</f>
        <v>Bank BCA</v>
      </c>
      <c r="E90" s="60"/>
      <c r="F90" s="61"/>
      <c r="G90" s="61">
        <f>SUM(F86:F89)</f>
        <v>1250000</v>
      </c>
      <c r="H90" s="60"/>
      <c r="I90" s="60"/>
      <c r="J90" s="62"/>
      <c r="K90" s="62"/>
      <c r="L90" s="60"/>
      <c r="M90" s="62"/>
      <c r="N90" s="63"/>
    </row>
    <row r="91" spans="1:14" ht="15" x14ac:dyDescent="0.2">
      <c r="A91" s="52">
        <v>11101</v>
      </c>
      <c r="B91" s="168">
        <v>38746</v>
      </c>
      <c r="C91" s="171" t="s">
        <v>193</v>
      </c>
      <c r="D91" s="53" t="str">
        <f>VLOOKUP(A91,'Master Akun'!A1:E154,2,)</f>
        <v>Kas Di tangan</v>
      </c>
      <c r="E91" s="54"/>
      <c r="F91" s="55">
        <v>5500000</v>
      </c>
      <c r="G91" s="55"/>
      <c r="H91" s="54"/>
      <c r="I91" s="54"/>
      <c r="J91" s="56"/>
      <c r="K91" s="56"/>
      <c r="L91" s="54"/>
      <c r="M91" s="56"/>
      <c r="N91" s="57"/>
    </row>
    <row r="92" spans="1:14" ht="15" x14ac:dyDescent="0.2">
      <c r="A92" s="65">
        <v>12202</v>
      </c>
      <c r="B92" s="169"/>
      <c r="C92" s="169"/>
      <c r="D92" s="66" t="str">
        <f>VLOOKUP(A92,'Master Akun'!A2:E155,2,)</f>
        <v>Akumulasi Penyusutan Kendaraan</v>
      </c>
      <c r="E92" s="33"/>
      <c r="F92" s="67">
        <v>1500000</v>
      </c>
      <c r="G92" s="67"/>
      <c r="H92" s="33"/>
      <c r="I92" s="33"/>
      <c r="J92" s="68"/>
      <c r="K92" s="68"/>
      <c r="L92" s="33"/>
      <c r="M92" s="68"/>
      <c r="N92" s="69"/>
    </row>
    <row r="93" spans="1:14" ht="15" x14ac:dyDescent="0.2">
      <c r="A93" s="65">
        <v>12201</v>
      </c>
      <c r="B93" s="169"/>
      <c r="C93" s="169"/>
      <c r="D93" s="66" t="str">
        <f>VLOOKUP(A93,'Master Akun'!A3:E156,2,)</f>
        <v>Kendaraan</v>
      </c>
      <c r="E93" s="33"/>
      <c r="F93" s="67"/>
      <c r="G93" s="67">
        <v>6000000</v>
      </c>
      <c r="H93" s="33"/>
      <c r="I93" s="33"/>
      <c r="J93" s="68"/>
      <c r="K93" s="68"/>
      <c r="L93" s="33"/>
      <c r="M93" s="68"/>
      <c r="N93" s="69"/>
    </row>
    <row r="94" spans="1:14" ht="15.75" thickBot="1" x14ac:dyDescent="0.25">
      <c r="A94" s="58">
        <v>81001</v>
      </c>
      <c r="B94" s="170"/>
      <c r="C94" s="170"/>
      <c r="D94" s="59" t="str">
        <f>VLOOKUP(A94,'Master Akun'!A4:E157,2,)</f>
        <v>Laba Penjualan Aktiva Tetap</v>
      </c>
      <c r="E94" s="60"/>
      <c r="F94" s="61"/>
      <c r="G94" s="61">
        <v>1000000</v>
      </c>
      <c r="H94" s="60"/>
      <c r="I94" s="60"/>
      <c r="J94" s="62"/>
      <c r="K94" s="62"/>
      <c r="L94" s="60"/>
      <c r="M94" s="62"/>
      <c r="N94" s="63"/>
    </row>
    <row r="95" spans="1:14" ht="15" x14ac:dyDescent="0.2">
      <c r="A95" s="52">
        <v>11101</v>
      </c>
      <c r="B95" s="168">
        <v>38746</v>
      </c>
      <c r="C95" s="171" t="s">
        <v>194</v>
      </c>
      <c r="D95" s="53" t="str">
        <f>VLOOKUP(A95,'Master Akun'!A5:E158,2,)</f>
        <v>Kas Di tangan</v>
      </c>
      <c r="E95" s="54"/>
      <c r="F95" s="55">
        <v>29729500</v>
      </c>
      <c r="G95" s="55"/>
      <c r="H95" s="54"/>
      <c r="I95" s="54"/>
      <c r="J95" s="56"/>
      <c r="K95" s="56"/>
      <c r="L95" s="54"/>
      <c r="M95" s="56"/>
      <c r="N95" s="57"/>
    </row>
    <row r="96" spans="1:14" ht="15" x14ac:dyDescent="0.2">
      <c r="A96" s="65">
        <v>41000</v>
      </c>
      <c r="B96" s="169"/>
      <c r="C96" s="169"/>
      <c r="D96" s="80" t="str">
        <f>VLOOKUP(A96,'Master Akun'!A6:E159,2,)</f>
        <v>Penjualan</v>
      </c>
      <c r="E96" s="33"/>
      <c r="F96" s="67"/>
      <c r="G96" s="67">
        <v>26845000</v>
      </c>
      <c r="H96" s="33"/>
      <c r="I96" s="33"/>
      <c r="J96" s="68"/>
      <c r="K96" s="68"/>
      <c r="L96" s="33"/>
      <c r="M96" s="68"/>
      <c r="N96" s="69"/>
    </row>
    <row r="97" spans="1:14" ht="15" x14ac:dyDescent="0.2">
      <c r="A97" s="65">
        <v>21403</v>
      </c>
      <c r="B97" s="169"/>
      <c r="C97" s="169"/>
      <c r="D97" s="80" t="str">
        <f>VLOOKUP(A97,'Master Akun'!A7:E160,2,)</f>
        <v>PPn Keluaran</v>
      </c>
      <c r="E97" s="33"/>
      <c r="F97" s="67"/>
      <c r="G97" s="67">
        <v>2684500</v>
      </c>
      <c r="H97" s="33"/>
      <c r="I97" s="33"/>
      <c r="J97" s="68"/>
      <c r="K97" s="68"/>
      <c r="L97" s="33"/>
      <c r="M97" s="68"/>
      <c r="N97" s="69"/>
    </row>
    <row r="98" spans="1:14" ht="15" x14ac:dyDescent="0.2">
      <c r="A98" s="65">
        <v>21200</v>
      </c>
      <c r="B98" s="169"/>
      <c r="C98" s="169"/>
      <c r="D98" s="66" t="str">
        <f>VLOOKUP(A98,'Master Akun'!A8:E161,2,)</f>
        <v>Pendapatan Diterima Dimuka- Jasa Kirim</v>
      </c>
      <c r="E98" s="33"/>
      <c r="F98" s="67"/>
      <c r="G98" s="67">
        <v>200000</v>
      </c>
      <c r="H98" s="33"/>
      <c r="I98" s="33"/>
      <c r="J98" s="68"/>
      <c r="K98" s="68"/>
      <c r="L98" s="33"/>
      <c r="M98" s="68"/>
      <c r="N98" s="69"/>
    </row>
    <row r="99" spans="1:14" ht="15" x14ac:dyDescent="0.2">
      <c r="A99" s="65">
        <v>51000</v>
      </c>
      <c r="B99" s="169"/>
      <c r="C99" s="169"/>
      <c r="D99" s="66" t="str">
        <f>VLOOKUP(A99,'Master Akun'!A9:E162,2,)</f>
        <v>Harga Pokok Penjualan</v>
      </c>
      <c r="E99" s="33"/>
      <c r="F99" s="67">
        <f>SUM(G100:G101)</f>
        <v>23375000</v>
      </c>
      <c r="G99" s="67"/>
      <c r="H99" s="33"/>
      <c r="I99" s="33"/>
      <c r="J99" s="68"/>
      <c r="K99" s="68"/>
      <c r="L99" s="33"/>
      <c r="M99" s="68"/>
      <c r="N99" s="69"/>
    </row>
    <row r="100" spans="1:14" ht="15" x14ac:dyDescent="0.2">
      <c r="A100" s="65">
        <v>11500</v>
      </c>
      <c r="B100" s="169"/>
      <c r="C100" s="169"/>
      <c r="D100" s="66" t="str">
        <f>VLOOKUP(A100,'Master Akun'!A10:E163,2,)</f>
        <v>PERSEDIAAN BARANG DAGANGAN</v>
      </c>
      <c r="E100" s="33"/>
      <c r="F100" s="67"/>
      <c r="G100" s="67">
        <f>N100</f>
        <v>12000000</v>
      </c>
      <c r="H100" s="33" t="s">
        <v>81</v>
      </c>
      <c r="I100" s="33"/>
      <c r="J100" s="68"/>
      <c r="K100" s="68"/>
      <c r="L100" s="33">
        <v>10</v>
      </c>
      <c r="M100" s="67">
        <v>1200000</v>
      </c>
      <c r="N100" s="78">
        <f>M100*L100</f>
        <v>12000000</v>
      </c>
    </row>
    <row r="101" spans="1:14" ht="15.75" thickBot="1" x14ac:dyDescent="0.25">
      <c r="A101" s="58">
        <v>11500</v>
      </c>
      <c r="B101" s="170"/>
      <c r="C101" s="170"/>
      <c r="D101" s="59" t="str">
        <f>VLOOKUP(A101,'Master Akun'!A11:E164,2,)</f>
        <v>PERSEDIAAN BARANG DAGANGAN</v>
      </c>
      <c r="E101" s="60"/>
      <c r="F101" s="61"/>
      <c r="G101" s="61">
        <f>N101</f>
        <v>11375000</v>
      </c>
      <c r="H101" s="60" t="s">
        <v>83</v>
      </c>
      <c r="I101" s="60"/>
      <c r="J101" s="62"/>
      <c r="K101" s="62"/>
      <c r="L101" s="60">
        <v>35</v>
      </c>
      <c r="M101" s="61">
        <v>325000</v>
      </c>
      <c r="N101" s="79">
        <f>M101*L101</f>
        <v>11375000</v>
      </c>
    </row>
    <row r="102" spans="1:14" ht="15" x14ac:dyDescent="0.2">
      <c r="A102" s="52">
        <v>11101</v>
      </c>
      <c r="B102" s="168">
        <v>38748</v>
      </c>
      <c r="C102" s="171" t="s">
        <v>195</v>
      </c>
      <c r="D102" s="53" t="str">
        <f>VLOOKUP(A102,'Master Akun'!A1:E165,2,)</f>
        <v>Kas Di tangan</v>
      </c>
      <c r="E102" s="54"/>
      <c r="F102" s="55">
        <v>500000</v>
      </c>
      <c r="G102" s="55"/>
      <c r="H102" s="54"/>
      <c r="I102" s="54"/>
      <c r="J102" s="56"/>
      <c r="K102" s="56"/>
      <c r="L102" s="54"/>
      <c r="M102" s="56"/>
      <c r="N102" s="57"/>
    </row>
    <row r="103" spans="1:14" ht="15.75" thickBot="1" x14ac:dyDescent="0.25">
      <c r="A103" s="58">
        <v>11401</v>
      </c>
      <c r="B103" s="170"/>
      <c r="C103" s="170"/>
      <c r="D103" s="81" t="str">
        <f>VLOOKUP(A103,'Master Akun'!A2:E166,2,)</f>
        <v>Piutang Karyawan</v>
      </c>
      <c r="E103" s="60"/>
      <c r="F103" s="61"/>
      <c r="G103" s="61">
        <v>500000</v>
      </c>
      <c r="H103" s="60"/>
      <c r="I103" s="60"/>
      <c r="J103" s="62"/>
      <c r="K103" s="62"/>
      <c r="L103" s="60"/>
      <c r="M103" s="62"/>
      <c r="N103" s="63"/>
    </row>
    <row r="104" spans="1:14" ht="15" x14ac:dyDescent="0.2">
      <c r="A104" s="52">
        <v>61001</v>
      </c>
      <c r="B104" s="168">
        <v>38748</v>
      </c>
      <c r="C104" s="171" t="s">
        <v>196</v>
      </c>
      <c r="D104" s="53" t="str">
        <f>VLOOKUP(A104,'Master Akun'!A3:E167,2,)</f>
        <v>Beban Gaji Karyawan</v>
      </c>
      <c r="E104" s="54"/>
      <c r="F104" s="55">
        <v>14500000</v>
      </c>
      <c r="G104" s="55"/>
      <c r="H104" s="54"/>
      <c r="I104" s="54"/>
      <c r="J104" s="56"/>
      <c r="K104" s="56"/>
      <c r="L104" s="54"/>
      <c r="M104" s="56"/>
      <c r="N104" s="57"/>
    </row>
    <row r="105" spans="1:14" ht="15" x14ac:dyDescent="0.2">
      <c r="A105" s="65">
        <v>11201</v>
      </c>
      <c r="B105" s="169"/>
      <c r="C105" s="169"/>
      <c r="D105" s="80" t="str">
        <f>VLOOKUP(A105,'Master Akun'!A4:E168,2,)</f>
        <v>Bank BCA</v>
      </c>
      <c r="E105" s="33"/>
      <c r="F105" s="67"/>
      <c r="G105" s="67">
        <v>13775000</v>
      </c>
      <c r="H105" s="33"/>
      <c r="I105" s="33"/>
      <c r="J105" s="68"/>
      <c r="K105" s="68"/>
      <c r="L105" s="33"/>
      <c r="M105" s="68"/>
      <c r="N105" s="69"/>
    </row>
    <row r="106" spans="1:14" ht="15.75" thickBot="1" x14ac:dyDescent="0.25">
      <c r="A106" s="58">
        <v>21401</v>
      </c>
      <c r="B106" s="170"/>
      <c r="C106" s="170"/>
      <c r="D106" s="81" t="str">
        <f>VLOOKUP(A106,'Master Akun'!A5:E169,2,)</f>
        <v>Utang PPh Pasal 21</v>
      </c>
      <c r="E106" s="60"/>
      <c r="F106" s="61"/>
      <c r="G106" s="61">
        <v>725000</v>
      </c>
      <c r="H106" s="60"/>
      <c r="I106" s="60"/>
      <c r="J106" s="62"/>
      <c r="K106" s="62"/>
      <c r="L106" s="60"/>
      <c r="M106" s="62"/>
      <c r="N106" s="63"/>
    </row>
    <row r="107" spans="1:14" ht="15" x14ac:dyDescent="0.2">
      <c r="A107" s="52">
        <v>61006</v>
      </c>
      <c r="B107" s="168">
        <v>38748</v>
      </c>
      <c r="C107" s="171" t="s">
        <v>197</v>
      </c>
      <c r="D107" s="53" t="str">
        <f>VLOOKUP(A107,'Master Akun'!A6:E170,2,)</f>
        <v>Beban Penyusutan Peralatan Kantor</v>
      </c>
      <c r="E107" s="54"/>
      <c r="F107" s="55">
        <v>400000</v>
      </c>
      <c r="G107" s="55"/>
      <c r="H107" s="54"/>
      <c r="I107" s="54"/>
      <c r="J107" s="56"/>
      <c r="K107" s="56"/>
      <c r="L107" s="54"/>
      <c r="M107" s="56"/>
      <c r="N107" s="57"/>
    </row>
    <row r="108" spans="1:14" ht="15" x14ac:dyDescent="0.2">
      <c r="A108" s="65">
        <v>12102</v>
      </c>
      <c r="B108" s="169"/>
      <c r="C108" s="169"/>
      <c r="D108" s="80" t="str">
        <f>VLOOKUP(A108,'Master Akun'!A7:E171,2,)</f>
        <v>Akumulasi Penyusutan Peralatan Kantor</v>
      </c>
      <c r="E108" s="33"/>
      <c r="F108" s="67"/>
      <c r="G108" s="67">
        <v>400000</v>
      </c>
      <c r="H108" s="33"/>
      <c r="I108" s="33"/>
      <c r="J108" s="68"/>
      <c r="K108" s="68"/>
      <c r="L108" s="33"/>
      <c r="M108" s="68"/>
      <c r="N108" s="69"/>
    </row>
    <row r="109" spans="1:14" ht="15" x14ac:dyDescent="0.2">
      <c r="A109" s="65">
        <v>61007</v>
      </c>
      <c r="B109" s="169"/>
      <c r="C109" s="169"/>
      <c r="D109" s="80" t="str">
        <f>VLOOKUP(A109,'Master Akun'!A8:E172,2,)</f>
        <v>Beban Penyusutan Kendaraan</v>
      </c>
      <c r="E109" s="33"/>
      <c r="F109" s="67">
        <v>500000</v>
      </c>
      <c r="G109" s="67"/>
      <c r="H109" s="33"/>
      <c r="I109" s="33"/>
      <c r="J109" s="68"/>
      <c r="K109" s="68"/>
      <c r="L109" s="33"/>
      <c r="M109" s="68"/>
      <c r="N109" s="69"/>
    </row>
    <row r="110" spans="1:14" ht="15.75" thickBot="1" x14ac:dyDescent="0.25">
      <c r="A110" s="58">
        <v>12202</v>
      </c>
      <c r="B110" s="170"/>
      <c r="C110" s="170"/>
      <c r="D110" s="81" t="str">
        <f>VLOOKUP(A110,'Master Akun'!A9:E173,2,)</f>
        <v>Akumulasi Penyusutan Kendaraan</v>
      </c>
      <c r="E110" s="60"/>
      <c r="F110" s="61"/>
      <c r="G110" s="61">
        <v>500000</v>
      </c>
      <c r="H110" s="60"/>
      <c r="I110" s="60"/>
      <c r="J110" s="62"/>
      <c r="K110" s="62"/>
      <c r="L110" s="60"/>
      <c r="M110" s="62"/>
      <c r="N110" s="63"/>
    </row>
    <row r="111" spans="1:14" ht="15" x14ac:dyDescent="0.2">
      <c r="A111" s="52">
        <v>91002</v>
      </c>
      <c r="B111" s="168">
        <v>38748</v>
      </c>
      <c r="C111" s="171" t="s">
        <v>198</v>
      </c>
      <c r="D111" s="53" t="str">
        <f>VLOOKUP(A111,'Master Akun'!A10:E174,2,)</f>
        <v>Beban Bunga</v>
      </c>
      <c r="E111" s="54"/>
      <c r="F111" s="55">
        <v>1500000</v>
      </c>
      <c r="G111" s="55"/>
      <c r="H111" s="54"/>
      <c r="I111" s="54"/>
      <c r="J111" s="56"/>
      <c r="K111" s="56"/>
      <c r="L111" s="54"/>
      <c r="M111" s="56"/>
      <c r="N111" s="57"/>
    </row>
    <row r="112" spans="1:14" ht="15.75" thickBot="1" x14ac:dyDescent="0.25">
      <c r="A112" s="58">
        <v>21300</v>
      </c>
      <c r="B112" s="170"/>
      <c r="C112" s="170"/>
      <c r="D112" s="81" t="str">
        <f>VLOOKUP(A112,'Master Akun'!A11:E175,2,)</f>
        <v>Hutang Bunga</v>
      </c>
      <c r="E112" s="60"/>
      <c r="F112" s="61"/>
      <c r="G112" s="61">
        <v>1500000</v>
      </c>
      <c r="H112" s="60"/>
      <c r="I112" s="60"/>
      <c r="J112" s="62"/>
      <c r="K112" s="62"/>
      <c r="L112" s="60"/>
      <c r="M112" s="62"/>
      <c r="N112" s="63"/>
    </row>
    <row r="113" spans="1:14" ht="15" x14ac:dyDescent="0.2">
      <c r="A113" s="52">
        <v>61003</v>
      </c>
      <c r="B113" s="168">
        <v>38748</v>
      </c>
      <c r="C113" s="171" t="s">
        <v>199</v>
      </c>
      <c r="D113" s="53" t="str">
        <f>VLOOKUP(A113,'Master Akun'!A12:E176,2,)</f>
        <v>Beban Piutang Tak Tertagih</v>
      </c>
      <c r="E113" s="54"/>
      <c r="F113" s="55">
        <v>2901750</v>
      </c>
      <c r="G113" s="55"/>
      <c r="H113" s="54"/>
      <c r="I113" s="54"/>
      <c r="J113" s="56"/>
      <c r="K113" s="56"/>
      <c r="L113" s="54"/>
      <c r="M113" s="56"/>
      <c r="N113" s="57"/>
    </row>
    <row r="114" spans="1:14" ht="15.75" thickBot="1" x14ac:dyDescent="0.25">
      <c r="A114" s="58">
        <v>11302</v>
      </c>
      <c r="B114" s="170"/>
      <c r="C114" s="170"/>
      <c r="D114" s="81" t="str">
        <f>VLOOKUP(A114,'Master Akun'!A13:E177,2,)</f>
        <v>Cadangan Piutang Tak Tertagih</v>
      </c>
      <c r="E114" s="60"/>
      <c r="F114" s="61"/>
      <c r="G114" s="61">
        <v>2901750</v>
      </c>
      <c r="H114" s="60"/>
      <c r="I114" s="60"/>
      <c r="J114" s="62"/>
      <c r="K114" s="62"/>
      <c r="L114" s="60"/>
      <c r="M114" s="62"/>
      <c r="N114" s="63"/>
    </row>
    <row r="115" spans="1:14" ht="15" x14ac:dyDescent="0.2">
      <c r="A115" s="52">
        <v>91001</v>
      </c>
      <c r="B115" s="168">
        <v>38748</v>
      </c>
      <c r="C115" s="171" t="s">
        <v>200</v>
      </c>
      <c r="D115" s="53" t="str">
        <f>VLOOKUP(A115,'Master Akun'!A14:E178,2,)</f>
        <v>Beban Administrasi Bank</v>
      </c>
      <c r="E115" s="54"/>
      <c r="F115" s="55">
        <v>150000</v>
      </c>
      <c r="G115" s="55"/>
      <c r="H115" s="54"/>
      <c r="I115" s="54"/>
      <c r="J115" s="56"/>
      <c r="K115" s="56"/>
      <c r="L115" s="54"/>
      <c r="M115" s="56"/>
      <c r="N115" s="57"/>
    </row>
    <row r="116" spans="1:14" ht="15" x14ac:dyDescent="0.2">
      <c r="A116" s="65">
        <v>11201</v>
      </c>
      <c r="B116" s="169"/>
      <c r="C116" s="169"/>
      <c r="D116" s="80" t="str">
        <f>VLOOKUP(A116,'Master Akun'!A1:E179,2,)</f>
        <v>Bank BCA</v>
      </c>
      <c r="E116" s="33"/>
      <c r="F116" s="67">
        <v>1200000</v>
      </c>
      <c r="G116" s="67"/>
      <c r="H116" s="33"/>
      <c r="I116" s="33"/>
      <c r="J116" s="68"/>
      <c r="K116" s="68"/>
      <c r="L116" s="33"/>
      <c r="M116" s="68"/>
      <c r="N116" s="69"/>
    </row>
    <row r="117" spans="1:14" ht="15.75" thickBot="1" x14ac:dyDescent="0.25">
      <c r="A117" s="72">
        <v>81002</v>
      </c>
      <c r="B117" s="169"/>
      <c r="C117" s="169"/>
      <c r="D117" s="82" t="str">
        <f>VLOOKUP(A117,'Master Akun'!A2:E180,2,)</f>
        <v>Pendapatan Jasa Giro</v>
      </c>
      <c r="E117" s="74"/>
      <c r="F117" s="75"/>
      <c r="G117" s="75">
        <v>1350000</v>
      </c>
      <c r="H117" s="74"/>
      <c r="I117" s="74"/>
      <c r="J117" s="76"/>
      <c r="K117" s="76"/>
      <c r="L117" s="74"/>
      <c r="M117" s="76"/>
      <c r="N117" s="77"/>
    </row>
    <row r="118" spans="1:14" ht="15.75" thickBot="1" x14ac:dyDescent="0.25">
      <c r="A118" s="186" t="s">
        <v>201</v>
      </c>
      <c r="B118" s="187"/>
      <c r="C118" s="187"/>
      <c r="D118" s="187"/>
      <c r="E118" s="188"/>
      <c r="F118" s="83">
        <f>SUM(F7:F117)</f>
        <v>479716500</v>
      </c>
      <c r="G118" s="83">
        <f>SUM(G7:G117)</f>
        <v>479716500</v>
      </c>
      <c r="H118" s="84"/>
      <c r="I118" s="84"/>
      <c r="J118" s="85"/>
      <c r="K118" s="85"/>
      <c r="L118" s="84"/>
      <c r="M118" s="85"/>
      <c r="N118" s="86"/>
    </row>
    <row r="119" spans="1:14" ht="15" x14ac:dyDescent="0.2">
      <c r="A119" s="87"/>
      <c r="B119" s="87"/>
      <c r="C119" s="88"/>
      <c r="D119" s="89"/>
      <c r="E119" s="87"/>
      <c r="F119" s="90"/>
      <c r="G119" s="90"/>
      <c r="H119" s="87"/>
      <c r="I119" s="87"/>
      <c r="J119" s="88"/>
      <c r="K119" s="88"/>
      <c r="L119" s="87"/>
      <c r="M119" s="88"/>
      <c r="N119" s="88"/>
    </row>
    <row r="120" spans="1:14" ht="15" x14ac:dyDescent="0.2">
      <c r="A120" s="87"/>
      <c r="B120" s="87"/>
      <c r="C120" s="88"/>
      <c r="D120" s="89"/>
      <c r="E120" s="87"/>
      <c r="F120" s="90"/>
      <c r="G120" s="90"/>
      <c r="H120" s="87"/>
      <c r="I120" s="87"/>
      <c r="J120" s="88"/>
      <c r="K120" s="88"/>
      <c r="L120" s="87"/>
      <c r="M120" s="88"/>
      <c r="N120" s="88"/>
    </row>
  </sheetData>
  <mergeCells count="71">
    <mergeCell ref="B115:B117"/>
    <mergeCell ref="C115:C117"/>
    <mergeCell ref="A118:E118"/>
    <mergeCell ref="B107:B110"/>
    <mergeCell ref="C107:C110"/>
    <mergeCell ref="B111:B112"/>
    <mergeCell ref="C111:C112"/>
    <mergeCell ref="B113:B114"/>
    <mergeCell ref="C113:C114"/>
    <mergeCell ref="B95:B101"/>
    <mergeCell ref="C95:C101"/>
    <mergeCell ref="B102:B103"/>
    <mergeCell ref="C102:C103"/>
    <mergeCell ref="B104:B106"/>
    <mergeCell ref="C104:C106"/>
    <mergeCell ref="B83:B85"/>
    <mergeCell ref="C83:C85"/>
    <mergeCell ref="B86:B90"/>
    <mergeCell ref="C86:C90"/>
    <mergeCell ref="B91:B94"/>
    <mergeCell ref="C91:C94"/>
    <mergeCell ref="B68:B72"/>
    <mergeCell ref="C68:C72"/>
    <mergeCell ref="B73:B80"/>
    <mergeCell ref="C73:C80"/>
    <mergeCell ref="B81:B82"/>
    <mergeCell ref="C81:C82"/>
    <mergeCell ref="A3:N3"/>
    <mergeCell ref="A4:N4"/>
    <mergeCell ref="H5:H6"/>
    <mergeCell ref="I5:K5"/>
    <mergeCell ref="L5:N5"/>
    <mergeCell ref="A5:A6"/>
    <mergeCell ref="B5:B6"/>
    <mergeCell ref="C5:C6"/>
    <mergeCell ref="E5:E6"/>
    <mergeCell ref="F5:F6"/>
    <mergeCell ref="G5:G6"/>
    <mergeCell ref="D5:D6"/>
    <mergeCell ref="B7:B8"/>
    <mergeCell ref="C7:C8"/>
    <mergeCell ref="B9:B10"/>
    <mergeCell ref="C9:C10"/>
    <mergeCell ref="B11:B17"/>
    <mergeCell ref="C11:C17"/>
    <mergeCell ref="B18:B20"/>
    <mergeCell ref="C18:C20"/>
    <mergeCell ref="B21:B25"/>
    <mergeCell ref="C21:C25"/>
    <mergeCell ref="B26:B28"/>
    <mergeCell ref="C26:C28"/>
    <mergeCell ref="B29:B30"/>
    <mergeCell ref="C29:C30"/>
    <mergeCell ref="B31:B33"/>
    <mergeCell ref="C31:C33"/>
    <mergeCell ref="B34:B36"/>
    <mergeCell ref="C34:C36"/>
    <mergeCell ref="B37:B40"/>
    <mergeCell ref="C37:C40"/>
    <mergeCell ref="B41:B45"/>
    <mergeCell ref="C41:C45"/>
    <mergeCell ref="B46:B47"/>
    <mergeCell ref="C46:C47"/>
    <mergeCell ref="B60:B67"/>
    <mergeCell ref="C60:C67"/>
    <mergeCell ref="B48:B50"/>
    <mergeCell ref="C48:C50"/>
    <mergeCell ref="B51:B52"/>
    <mergeCell ref="C51:C52"/>
    <mergeCell ref="B53:B59"/>
    <mergeCell ref="C53:C59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2"/>
  <sheetViews>
    <sheetView zoomScale="110" zoomScaleNormal="110" workbookViewId="0">
      <selection activeCell="A3" sqref="A3:H502"/>
    </sheetView>
  </sheetViews>
  <sheetFormatPr defaultColWidth="9.14453125" defaultRowHeight="14.25" x14ac:dyDescent="0.15"/>
  <cols>
    <col min="1" max="1" width="9.14453125" style="4"/>
    <col min="2" max="2" width="16.6796875" style="4" customWidth="1"/>
    <col min="3" max="3" width="14.66015625" style="4" customWidth="1"/>
    <col min="4" max="4" width="10.0859375" style="4" bestFit="1" customWidth="1"/>
    <col min="5" max="6" width="17.08203125" style="4" customWidth="1"/>
    <col min="7" max="8" width="17.890625" style="4" customWidth="1"/>
    <col min="9" max="16384" width="9.14453125" style="4"/>
  </cols>
  <sheetData>
    <row r="1" spans="1:8" x14ac:dyDescent="0.15">
      <c r="A1" s="10"/>
      <c r="B1" s="10"/>
      <c r="C1" s="10"/>
      <c r="D1" s="10"/>
      <c r="E1" s="10"/>
      <c r="F1" s="10"/>
      <c r="G1" s="10"/>
      <c r="H1" s="10"/>
    </row>
    <row r="2" spans="1:8" x14ac:dyDescent="0.15">
      <c r="A2" s="10"/>
      <c r="B2" s="10"/>
      <c r="C2" s="10"/>
      <c r="D2" s="10"/>
      <c r="E2" s="10"/>
      <c r="F2" s="10"/>
      <c r="G2" s="10"/>
      <c r="H2" s="10"/>
    </row>
    <row r="3" spans="1:8" ht="15" x14ac:dyDescent="0.2">
      <c r="A3" s="192" t="s">
        <v>70</v>
      </c>
      <c r="B3" s="192"/>
      <c r="C3" s="192"/>
      <c r="D3" s="192"/>
      <c r="E3" s="192"/>
      <c r="F3" s="192"/>
      <c r="G3" s="192"/>
      <c r="H3" s="192"/>
    </row>
    <row r="4" spans="1:8" ht="15" x14ac:dyDescent="0.2">
      <c r="A4" s="192" t="s">
        <v>156</v>
      </c>
      <c r="B4" s="192"/>
      <c r="C4" s="192"/>
      <c r="D4" s="192"/>
      <c r="E4" s="192"/>
      <c r="F4" s="192"/>
      <c r="G4" s="192"/>
      <c r="H4" s="192"/>
    </row>
    <row r="5" spans="1:8" ht="15" x14ac:dyDescent="0.2">
      <c r="A5" s="189" t="s">
        <v>152</v>
      </c>
      <c r="B5" s="189"/>
      <c r="C5" s="93">
        <v>11101</v>
      </c>
      <c r="D5" s="94"/>
      <c r="E5" s="94"/>
      <c r="F5" s="94"/>
      <c r="G5" s="94"/>
      <c r="H5" s="94"/>
    </row>
    <row r="6" spans="1:8" ht="15" x14ac:dyDescent="0.2">
      <c r="A6" s="93" t="s">
        <v>153</v>
      </c>
      <c r="B6" s="95"/>
      <c r="C6" s="189" t="str">
        <f>VLOOKUP(C5,'Master Akun'!A6:E70,2,)</f>
        <v>Kas Di tangan</v>
      </c>
      <c r="D6" s="189"/>
      <c r="E6" s="189"/>
      <c r="F6" s="189"/>
      <c r="G6" s="189"/>
      <c r="H6" s="189"/>
    </row>
    <row r="7" spans="1:8" ht="15" x14ac:dyDescent="0.2">
      <c r="A7" s="96"/>
      <c r="B7" s="95"/>
      <c r="C7" s="96"/>
      <c r="D7" s="96"/>
      <c r="E7" s="96"/>
      <c r="F7" s="96"/>
      <c r="G7" s="96"/>
      <c r="H7" s="96"/>
    </row>
    <row r="8" spans="1:8" ht="15" x14ac:dyDescent="0.15">
      <c r="A8" s="190" t="s">
        <v>142</v>
      </c>
      <c r="B8" s="191" t="s">
        <v>154</v>
      </c>
      <c r="C8" s="191" t="s">
        <v>144</v>
      </c>
      <c r="D8" s="191" t="s">
        <v>145</v>
      </c>
      <c r="E8" s="191" t="s">
        <v>2</v>
      </c>
      <c r="F8" s="191" t="s">
        <v>3</v>
      </c>
      <c r="G8" s="191" t="s">
        <v>155</v>
      </c>
      <c r="H8" s="191"/>
    </row>
    <row r="9" spans="1:8" ht="15" x14ac:dyDescent="0.2">
      <c r="A9" s="190"/>
      <c r="B9" s="191"/>
      <c r="C9" s="191"/>
      <c r="D9" s="191"/>
      <c r="E9" s="191"/>
      <c r="F9" s="191"/>
      <c r="G9" s="97" t="s">
        <v>2</v>
      </c>
      <c r="H9" s="97" t="s">
        <v>3</v>
      </c>
    </row>
    <row r="10" spans="1:8" ht="15" x14ac:dyDescent="0.2">
      <c r="A10" s="98"/>
      <c r="B10" s="66" t="s">
        <v>202</v>
      </c>
      <c r="C10" s="68"/>
      <c r="D10" s="68"/>
      <c r="E10" s="68"/>
      <c r="F10" s="68"/>
      <c r="G10" s="67">
        <f>VLOOKUP(BB!C5,'Master Akun'!A6:E70,4,)</f>
        <v>2500000</v>
      </c>
      <c r="H10" s="67">
        <f>VLOOKUP(BB!C5,'Master Akun'!A6:E70,5,)</f>
        <v>0</v>
      </c>
    </row>
    <row r="11" spans="1:8" ht="15" x14ac:dyDescent="0.2">
      <c r="A11" s="99"/>
      <c r="B11" s="66" t="s">
        <v>203</v>
      </c>
      <c r="C11" s="68"/>
      <c r="D11" s="68"/>
      <c r="E11" s="67">
        <f ca="1">SUMIF(JU!A7:G117,BB!C5,JU!F7:F117)</f>
        <v>60685750</v>
      </c>
      <c r="F11" s="67">
        <f ca="1">SUMIF(JU!A7:G117,BB!C5,JU!G7:G117)</f>
        <v>412500</v>
      </c>
      <c r="G11" s="67">
        <f ca="1">IF(G10+E11&gt;H10+F11,G10+E11-(H10+F11),0)</f>
        <v>62773250</v>
      </c>
      <c r="H11" s="67">
        <f ca="1">IF(H10+F11&gt;G10+E11,H10+F11-(G10+E11),0)</f>
        <v>0</v>
      </c>
    </row>
    <row r="12" spans="1:8" ht="15" x14ac:dyDescent="0.2">
      <c r="A12" s="99"/>
      <c r="B12" s="33"/>
      <c r="C12" s="68"/>
      <c r="D12" s="68"/>
      <c r="E12" s="100"/>
      <c r="F12" s="100"/>
      <c r="G12" s="100"/>
      <c r="H12" s="100"/>
    </row>
    <row r="13" spans="1:8" ht="15" x14ac:dyDescent="0.2">
      <c r="A13" s="101"/>
      <c r="B13" s="101"/>
      <c r="C13" s="101"/>
      <c r="D13" s="101"/>
      <c r="E13" s="101"/>
      <c r="F13" s="101"/>
      <c r="G13" s="101"/>
      <c r="H13" s="101"/>
    </row>
    <row r="14" spans="1:8" ht="15" x14ac:dyDescent="0.2">
      <c r="A14" s="189" t="s">
        <v>152</v>
      </c>
      <c r="B14" s="189"/>
      <c r="C14" s="93">
        <v>11102</v>
      </c>
      <c r="D14" s="94"/>
      <c r="E14" s="94"/>
      <c r="F14" s="94"/>
      <c r="G14" s="94"/>
      <c r="H14" s="94"/>
    </row>
    <row r="15" spans="1:8" ht="15" x14ac:dyDescent="0.2">
      <c r="A15" s="93" t="s">
        <v>153</v>
      </c>
      <c r="B15" s="95"/>
      <c r="C15" s="189" t="str">
        <f>VLOOKUP(C14,'Master Akun'!A6:E70,2,)</f>
        <v>Kas Kecil</v>
      </c>
      <c r="D15" s="189"/>
      <c r="E15" s="189"/>
      <c r="F15" s="189"/>
      <c r="G15" s="189"/>
      <c r="H15" s="189"/>
    </row>
    <row r="16" spans="1:8" ht="15" x14ac:dyDescent="0.2">
      <c r="A16" s="96"/>
      <c r="B16" s="95"/>
      <c r="C16" s="96"/>
      <c r="D16" s="96"/>
      <c r="E16" s="96"/>
      <c r="F16" s="96"/>
      <c r="G16" s="96"/>
      <c r="H16" s="96"/>
    </row>
    <row r="17" spans="1:8" ht="15" x14ac:dyDescent="0.15">
      <c r="A17" s="190" t="s">
        <v>142</v>
      </c>
      <c r="B17" s="191" t="s">
        <v>154</v>
      </c>
      <c r="C17" s="191" t="s">
        <v>144</v>
      </c>
      <c r="D17" s="191" t="s">
        <v>145</v>
      </c>
      <c r="E17" s="191" t="s">
        <v>2</v>
      </c>
      <c r="F17" s="191" t="s">
        <v>3</v>
      </c>
      <c r="G17" s="191" t="s">
        <v>155</v>
      </c>
      <c r="H17" s="191"/>
    </row>
    <row r="18" spans="1:8" ht="15" x14ac:dyDescent="0.2">
      <c r="A18" s="190"/>
      <c r="B18" s="191"/>
      <c r="C18" s="191"/>
      <c r="D18" s="191"/>
      <c r="E18" s="191"/>
      <c r="F18" s="191"/>
      <c r="G18" s="97" t="s">
        <v>2</v>
      </c>
      <c r="H18" s="97" t="s">
        <v>3</v>
      </c>
    </row>
    <row r="19" spans="1:8" ht="15" x14ac:dyDescent="0.2">
      <c r="A19" s="98"/>
      <c r="B19" s="66" t="s">
        <v>202</v>
      </c>
      <c r="C19" s="68"/>
      <c r="D19" s="68"/>
      <c r="E19" s="67"/>
      <c r="F19" s="67"/>
      <c r="G19" s="67">
        <f>VLOOKUP(BB!C14,'Master Akun'!A6:E70,4,)</f>
        <v>750000</v>
      </c>
      <c r="H19" s="67">
        <f>VLOOKUP(BB!C14,'Master Akun'!A6:E70,5,)</f>
        <v>0</v>
      </c>
    </row>
    <row r="20" spans="1:8" ht="15" x14ac:dyDescent="0.2">
      <c r="A20" s="99"/>
      <c r="B20" s="66" t="s">
        <v>203</v>
      </c>
      <c r="C20" s="68"/>
      <c r="D20" s="68"/>
      <c r="E20" s="67">
        <f ca="1">SUMIF(JU!A7:G117,BB!C14,JU!F7:F117)</f>
        <v>0</v>
      </c>
      <c r="F20" s="67">
        <f ca="1">SUMIF(JU!A7:G117,BB!C14,JU!G7:G117)</f>
        <v>0</v>
      </c>
      <c r="G20" s="67">
        <f ca="1">IF(G19+E20&gt;H19+F20,G19+E20-(H19+F20),0)</f>
        <v>750000</v>
      </c>
      <c r="H20" s="67">
        <f ca="1">IF(H19+F20&gt;G19+E20,H19+F20-(G19+E20),0)</f>
        <v>0</v>
      </c>
    </row>
    <row r="21" spans="1:8" ht="15" x14ac:dyDescent="0.2">
      <c r="A21" s="99"/>
      <c r="B21" s="66"/>
      <c r="C21" s="68"/>
      <c r="D21" s="68"/>
      <c r="E21" s="67"/>
      <c r="F21" s="67"/>
      <c r="G21" s="67"/>
      <c r="H21" s="67"/>
    </row>
    <row r="22" spans="1:8" ht="15" x14ac:dyDescent="0.2">
      <c r="A22" s="101"/>
      <c r="B22" s="101"/>
      <c r="C22" s="101"/>
      <c r="D22" s="101"/>
      <c r="E22" s="101"/>
      <c r="F22" s="101"/>
      <c r="G22" s="101"/>
      <c r="H22" s="101"/>
    </row>
    <row r="23" spans="1:8" ht="15" x14ac:dyDescent="0.2">
      <c r="A23" s="189" t="s">
        <v>152</v>
      </c>
      <c r="B23" s="189"/>
      <c r="C23" s="93">
        <v>11201</v>
      </c>
      <c r="D23" s="94"/>
      <c r="E23" s="94"/>
      <c r="F23" s="94"/>
      <c r="G23" s="94"/>
      <c r="H23" s="94"/>
    </row>
    <row r="24" spans="1:8" ht="15" x14ac:dyDescent="0.2">
      <c r="A24" s="93" t="s">
        <v>153</v>
      </c>
      <c r="B24" s="95"/>
      <c r="C24" s="189" t="str">
        <f>VLOOKUP(C23,'Master Akun'!A6:E70,2,)</f>
        <v>Bank BCA</v>
      </c>
      <c r="D24" s="189"/>
      <c r="E24" s="189"/>
      <c r="F24" s="189"/>
      <c r="G24" s="189"/>
      <c r="H24" s="189"/>
    </row>
    <row r="25" spans="1:8" ht="15" x14ac:dyDescent="0.2">
      <c r="A25" s="96"/>
      <c r="B25" s="95"/>
      <c r="C25" s="96"/>
      <c r="D25" s="96"/>
      <c r="E25" s="96"/>
      <c r="F25" s="96"/>
      <c r="G25" s="96"/>
      <c r="H25" s="96"/>
    </row>
    <row r="26" spans="1:8" ht="15" x14ac:dyDescent="0.15">
      <c r="A26" s="190" t="s">
        <v>142</v>
      </c>
      <c r="B26" s="191" t="s">
        <v>154</v>
      </c>
      <c r="C26" s="191" t="s">
        <v>144</v>
      </c>
      <c r="D26" s="191" t="s">
        <v>145</v>
      </c>
      <c r="E26" s="191" t="s">
        <v>2</v>
      </c>
      <c r="F26" s="191" t="s">
        <v>3</v>
      </c>
      <c r="G26" s="191" t="s">
        <v>155</v>
      </c>
      <c r="H26" s="191"/>
    </row>
    <row r="27" spans="1:8" ht="15" x14ac:dyDescent="0.2">
      <c r="A27" s="190"/>
      <c r="B27" s="191"/>
      <c r="C27" s="191"/>
      <c r="D27" s="191"/>
      <c r="E27" s="191"/>
      <c r="F27" s="191"/>
      <c r="G27" s="97" t="s">
        <v>2</v>
      </c>
      <c r="H27" s="97" t="s">
        <v>3</v>
      </c>
    </row>
    <row r="28" spans="1:8" ht="15" x14ac:dyDescent="0.2">
      <c r="A28" s="98"/>
      <c r="B28" s="66" t="s">
        <v>202</v>
      </c>
      <c r="C28" s="68"/>
      <c r="D28" s="68"/>
      <c r="E28" s="67"/>
      <c r="F28" s="67"/>
      <c r="G28" s="67">
        <f>VLOOKUP(BB!C23,'Master Akun'!A6:E70,4,)</f>
        <v>45000000</v>
      </c>
      <c r="H28" s="67">
        <f>VLOOKUP(BB!C23,'Master Akun'!A6:E70,5,)</f>
        <v>0</v>
      </c>
    </row>
    <row r="29" spans="1:8" ht="15" x14ac:dyDescent="0.2">
      <c r="A29" s="99"/>
      <c r="B29" s="66" t="s">
        <v>203</v>
      </c>
      <c r="C29" s="68"/>
      <c r="D29" s="68"/>
      <c r="E29" s="67">
        <f ca="1">SUMIF(JU!A7:G117,BB!C23,JU!F7:F117)</f>
        <v>45900000</v>
      </c>
      <c r="F29" s="67">
        <f ca="1">SUMIF(JU!A7:G117,BB!C23,JU!G7:G117)</f>
        <v>69025000</v>
      </c>
      <c r="G29" s="67">
        <f ca="1">IF(G28+E29&gt;H28+F29,G28+E29-(H28+F29),0)</f>
        <v>21875000</v>
      </c>
      <c r="H29" s="67">
        <f ca="1">IF(H28+F29&gt;G28+E29,H28+F29-(G28+E29),0)</f>
        <v>0</v>
      </c>
    </row>
    <row r="30" spans="1:8" ht="15" x14ac:dyDescent="0.2">
      <c r="A30" s="99"/>
      <c r="B30" s="66"/>
      <c r="C30" s="68"/>
      <c r="D30" s="68"/>
      <c r="E30" s="67"/>
      <c r="F30" s="67"/>
      <c r="G30" s="67"/>
      <c r="H30" s="67"/>
    </row>
    <row r="31" spans="1:8" ht="15" x14ac:dyDescent="0.2">
      <c r="A31" s="101"/>
      <c r="B31" s="101"/>
      <c r="C31" s="101"/>
      <c r="D31" s="101"/>
      <c r="E31" s="101"/>
      <c r="F31" s="101"/>
      <c r="G31" s="101"/>
      <c r="H31" s="101"/>
    </row>
    <row r="32" spans="1:8" ht="15" x14ac:dyDescent="0.2">
      <c r="A32" s="189" t="s">
        <v>152</v>
      </c>
      <c r="B32" s="189"/>
      <c r="C32" s="93">
        <v>11202</v>
      </c>
      <c r="D32" s="94"/>
      <c r="E32" s="94"/>
      <c r="F32" s="94"/>
      <c r="G32" s="94"/>
      <c r="H32" s="94"/>
    </row>
    <row r="33" spans="1:8" ht="15" x14ac:dyDescent="0.2">
      <c r="A33" s="93" t="s">
        <v>153</v>
      </c>
      <c r="B33" s="95"/>
      <c r="C33" s="189" t="str">
        <f>VLOOKUP(C32,'Master Akun'!A6:E70,2,)</f>
        <v>Bank Mandiri</v>
      </c>
      <c r="D33" s="189"/>
      <c r="E33" s="189"/>
      <c r="F33" s="189"/>
      <c r="G33" s="189"/>
      <c r="H33" s="189"/>
    </row>
    <row r="34" spans="1:8" ht="15" x14ac:dyDescent="0.2">
      <c r="A34" s="96"/>
      <c r="B34" s="95"/>
      <c r="C34" s="96"/>
      <c r="D34" s="96"/>
      <c r="E34" s="96"/>
      <c r="F34" s="96"/>
      <c r="G34" s="96"/>
      <c r="H34" s="96"/>
    </row>
    <row r="35" spans="1:8" ht="15" x14ac:dyDescent="0.15">
      <c r="A35" s="190" t="s">
        <v>142</v>
      </c>
      <c r="B35" s="191" t="s">
        <v>154</v>
      </c>
      <c r="C35" s="191" t="s">
        <v>144</v>
      </c>
      <c r="D35" s="191" t="s">
        <v>145</v>
      </c>
      <c r="E35" s="191" t="s">
        <v>2</v>
      </c>
      <c r="F35" s="191" t="s">
        <v>3</v>
      </c>
      <c r="G35" s="191" t="s">
        <v>155</v>
      </c>
      <c r="H35" s="191"/>
    </row>
    <row r="36" spans="1:8" ht="15" x14ac:dyDescent="0.2">
      <c r="A36" s="190"/>
      <c r="B36" s="191"/>
      <c r="C36" s="191"/>
      <c r="D36" s="191"/>
      <c r="E36" s="191"/>
      <c r="F36" s="191"/>
      <c r="G36" s="97" t="s">
        <v>2</v>
      </c>
      <c r="H36" s="97" t="s">
        <v>3</v>
      </c>
    </row>
    <row r="37" spans="1:8" ht="15" x14ac:dyDescent="0.2">
      <c r="A37" s="98"/>
      <c r="B37" s="66" t="s">
        <v>202</v>
      </c>
      <c r="C37" s="68"/>
      <c r="D37" s="68"/>
      <c r="E37" s="67"/>
      <c r="F37" s="67"/>
      <c r="G37" s="67">
        <f>VLOOKUP(BB!C32,'Master Akun'!A6:E70,4,)</f>
        <v>25000000</v>
      </c>
      <c r="H37" s="67">
        <f>VLOOKUP(BB!C32,'Master Akun'!A6:E70,5,)</f>
        <v>0</v>
      </c>
    </row>
    <row r="38" spans="1:8" ht="15" x14ac:dyDescent="0.2">
      <c r="A38" s="99"/>
      <c r="B38" s="66" t="s">
        <v>203</v>
      </c>
      <c r="C38" s="68"/>
      <c r="D38" s="68"/>
      <c r="E38" s="67">
        <f ca="1">SUMIF(JU!A7:G117,BB!C32,JU!F7:F117)</f>
        <v>71899000</v>
      </c>
      <c r="F38" s="67">
        <f ca="1">SUMIF(JU!A7:G117,BB!C32,JU!G7:G117)</f>
        <v>44887500</v>
      </c>
      <c r="G38" s="67">
        <f ca="1">IF(G37+E38&gt;H37+F38,G37+E38-(H37+F38),0)</f>
        <v>52011500</v>
      </c>
      <c r="H38" s="67">
        <f ca="1">IF(H37+F38&gt;G37+E38,H37+F38-(G37+E38),0)</f>
        <v>0</v>
      </c>
    </row>
    <row r="39" spans="1:8" ht="15" x14ac:dyDescent="0.2">
      <c r="A39" s="99"/>
      <c r="B39" s="66"/>
      <c r="C39" s="68"/>
      <c r="D39" s="68"/>
      <c r="E39" s="67"/>
      <c r="F39" s="67"/>
      <c r="G39" s="67"/>
      <c r="H39" s="67"/>
    </row>
    <row r="40" spans="1:8" ht="15" x14ac:dyDescent="0.2">
      <c r="A40" s="101"/>
      <c r="B40" s="101"/>
      <c r="C40" s="101"/>
      <c r="D40" s="101"/>
      <c r="E40" s="101"/>
      <c r="F40" s="101"/>
      <c r="G40" s="101"/>
      <c r="H40" s="101"/>
    </row>
    <row r="41" spans="1:8" ht="15" x14ac:dyDescent="0.2">
      <c r="A41" s="189" t="s">
        <v>152</v>
      </c>
      <c r="B41" s="189"/>
      <c r="C41" s="93">
        <v>11301</v>
      </c>
      <c r="D41" s="94"/>
      <c r="E41" s="94"/>
      <c r="F41" s="94"/>
      <c r="G41" s="94"/>
      <c r="H41" s="94"/>
    </row>
    <row r="42" spans="1:8" ht="15" x14ac:dyDescent="0.2">
      <c r="A42" s="93" t="s">
        <v>153</v>
      </c>
      <c r="B42" s="95"/>
      <c r="C42" s="189" t="str">
        <f>VLOOKUP(C41,'Master Akun'!A6:E70,2,)</f>
        <v xml:space="preserve">Piutang Usaha </v>
      </c>
      <c r="D42" s="189"/>
      <c r="E42" s="189"/>
      <c r="F42" s="189"/>
      <c r="G42" s="189"/>
      <c r="H42" s="189"/>
    </row>
    <row r="43" spans="1:8" ht="15" x14ac:dyDescent="0.2">
      <c r="A43" s="96"/>
      <c r="B43" s="95"/>
      <c r="C43" s="96"/>
      <c r="D43" s="96"/>
      <c r="E43" s="96"/>
      <c r="F43" s="96"/>
      <c r="G43" s="96"/>
      <c r="H43" s="96"/>
    </row>
    <row r="44" spans="1:8" ht="15" x14ac:dyDescent="0.15">
      <c r="A44" s="190" t="s">
        <v>142</v>
      </c>
      <c r="B44" s="191" t="s">
        <v>154</v>
      </c>
      <c r="C44" s="191" t="s">
        <v>144</v>
      </c>
      <c r="D44" s="191" t="s">
        <v>145</v>
      </c>
      <c r="E44" s="191" t="s">
        <v>2</v>
      </c>
      <c r="F44" s="191" t="s">
        <v>3</v>
      </c>
      <c r="G44" s="191" t="s">
        <v>155</v>
      </c>
      <c r="H44" s="191"/>
    </row>
    <row r="45" spans="1:8" ht="15" x14ac:dyDescent="0.2">
      <c r="A45" s="190"/>
      <c r="B45" s="191"/>
      <c r="C45" s="191"/>
      <c r="D45" s="191"/>
      <c r="E45" s="191"/>
      <c r="F45" s="191"/>
      <c r="G45" s="97" t="s">
        <v>2</v>
      </c>
      <c r="H45" s="97" t="s">
        <v>3</v>
      </c>
    </row>
    <row r="46" spans="1:8" ht="15" x14ac:dyDescent="0.2">
      <c r="A46" s="98"/>
      <c r="B46" s="66" t="s">
        <v>202</v>
      </c>
      <c r="C46" s="68"/>
      <c r="D46" s="68"/>
      <c r="E46" s="67"/>
      <c r="F46" s="67"/>
      <c r="G46" s="67">
        <f>VLOOKUP(BB!C41,'Master Akun'!A6:E70,4,)</f>
        <v>47500000</v>
      </c>
      <c r="H46" s="67">
        <f>VLOOKUP(BB!C41,'Master Akun'!A6:E70,5,)</f>
        <v>0</v>
      </c>
    </row>
    <row r="47" spans="1:8" ht="15" x14ac:dyDescent="0.2">
      <c r="A47" s="99"/>
      <c r="B47" s="66" t="s">
        <v>203</v>
      </c>
      <c r="C47" s="68"/>
      <c r="D47" s="68"/>
      <c r="E47" s="67">
        <f ca="1">SUMIF(JU!A7:G117,BB!C41,JU!F7:F117)</f>
        <v>59960000</v>
      </c>
      <c r="F47" s="67">
        <f ca="1">SUMIF(JU!A7:G117,BB!C41,JU!G7:G117)</f>
        <v>49425000</v>
      </c>
      <c r="G47" s="67">
        <f ca="1">IF(G46+E47&gt;H46+F47,G46+E47-(H46+F47),0)</f>
        <v>58035000</v>
      </c>
      <c r="H47" s="67">
        <f ca="1">IF(H46+F47&gt;G46+E47,H46+F47-(G46+E47),0)</f>
        <v>0</v>
      </c>
    </row>
    <row r="48" spans="1:8" ht="15" x14ac:dyDescent="0.2">
      <c r="A48" s="99"/>
      <c r="B48" s="66"/>
      <c r="C48" s="68"/>
      <c r="D48" s="68"/>
      <c r="E48" s="67"/>
      <c r="F48" s="67"/>
      <c r="G48" s="67"/>
      <c r="H48" s="67"/>
    </row>
    <row r="49" spans="1:8" ht="15" x14ac:dyDescent="0.2">
      <c r="A49" s="101"/>
      <c r="B49" s="101"/>
      <c r="C49" s="101"/>
      <c r="D49" s="101"/>
      <c r="E49" s="101"/>
      <c r="F49" s="101"/>
      <c r="G49" s="101"/>
      <c r="H49" s="101"/>
    </row>
    <row r="50" spans="1:8" ht="15" x14ac:dyDescent="0.2">
      <c r="A50" s="189" t="s">
        <v>152</v>
      </c>
      <c r="B50" s="189"/>
      <c r="C50" s="93">
        <v>11302</v>
      </c>
      <c r="D50" s="94"/>
      <c r="E50" s="94"/>
      <c r="F50" s="94"/>
      <c r="G50" s="94"/>
      <c r="H50" s="94"/>
    </row>
    <row r="51" spans="1:8" ht="15" x14ac:dyDescent="0.2">
      <c r="A51" s="93" t="s">
        <v>153</v>
      </c>
      <c r="B51" s="95"/>
      <c r="C51" s="189" t="str">
        <f>VLOOKUP(C50,'Master Akun'!A6:E70,2,)</f>
        <v>Cadangan Piutang Tak Tertagih</v>
      </c>
      <c r="D51" s="189"/>
      <c r="E51" s="189"/>
      <c r="F51" s="189"/>
      <c r="G51" s="189"/>
      <c r="H51" s="189"/>
    </row>
    <row r="52" spans="1:8" ht="15" x14ac:dyDescent="0.2">
      <c r="A52" s="96"/>
      <c r="B52" s="95"/>
      <c r="C52" s="96"/>
      <c r="D52" s="96"/>
      <c r="E52" s="96"/>
      <c r="F52" s="96"/>
      <c r="G52" s="96"/>
      <c r="H52" s="96"/>
    </row>
    <row r="53" spans="1:8" ht="15" x14ac:dyDescent="0.15">
      <c r="A53" s="190" t="s">
        <v>142</v>
      </c>
      <c r="B53" s="191" t="s">
        <v>154</v>
      </c>
      <c r="C53" s="191" t="s">
        <v>144</v>
      </c>
      <c r="D53" s="191" t="s">
        <v>145</v>
      </c>
      <c r="E53" s="191" t="s">
        <v>2</v>
      </c>
      <c r="F53" s="191" t="s">
        <v>3</v>
      </c>
      <c r="G53" s="191" t="s">
        <v>155</v>
      </c>
      <c r="H53" s="191"/>
    </row>
    <row r="54" spans="1:8" ht="15" x14ac:dyDescent="0.2">
      <c r="A54" s="190"/>
      <c r="B54" s="191"/>
      <c r="C54" s="191"/>
      <c r="D54" s="191"/>
      <c r="E54" s="191"/>
      <c r="F54" s="191"/>
      <c r="G54" s="97" t="s">
        <v>2</v>
      </c>
      <c r="H54" s="97" t="s">
        <v>3</v>
      </c>
    </row>
    <row r="55" spans="1:8" ht="15" x14ac:dyDescent="0.2">
      <c r="A55" s="98"/>
      <c r="B55" s="66" t="s">
        <v>202</v>
      </c>
      <c r="C55" s="68"/>
      <c r="D55" s="68"/>
      <c r="E55" s="67"/>
      <c r="F55" s="67"/>
      <c r="G55" s="67">
        <f>VLOOKUP(BB!C50,'Master Akun'!A6:E70,4,)</f>
        <v>0</v>
      </c>
      <c r="H55" s="67">
        <f>VLOOKUP(BB!C50,'Master Akun'!A6:E70,5,)</f>
        <v>0</v>
      </c>
    </row>
    <row r="56" spans="1:8" ht="15" x14ac:dyDescent="0.2">
      <c r="A56" s="99"/>
      <c r="B56" s="66" t="s">
        <v>203</v>
      </c>
      <c r="C56" s="68"/>
      <c r="D56" s="68"/>
      <c r="E56" s="67">
        <f ca="1">SUMIF(JU!A7:G117,BB!C50,JU!F7:F117)</f>
        <v>0</v>
      </c>
      <c r="F56" s="67">
        <f ca="1">SUMIF(JU!A7:G117,BB!C50,JU!G7:G117)</f>
        <v>2901750</v>
      </c>
      <c r="G56" s="67">
        <f ca="1">IF(G55+E56&gt;H55+F56,G55+E56-(H55+F56),0)</f>
        <v>0</v>
      </c>
      <c r="H56" s="67">
        <f ca="1">IF(H55+F56&gt;G55+E56,H55+F56-(G55+E56),0)</f>
        <v>2901750</v>
      </c>
    </row>
    <row r="57" spans="1:8" ht="15" x14ac:dyDescent="0.2">
      <c r="A57" s="99"/>
      <c r="B57" s="66"/>
      <c r="C57" s="68"/>
      <c r="D57" s="68"/>
      <c r="E57" s="67"/>
      <c r="F57" s="67"/>
      <c r="G57" s="67"/>
      <c r="H57" s="67"/>
    </row>
    <row r="58" spans="1:8" ht="15" x14ac:dyDescent="0.2">
      <c r="A58" s="101"/>
      <c r="B58" s="101"/>
      <c r="C58" s="101"/>
      <c r="D58" s="101"/>
      <c r="E58" s="101"/>
      <c r="F58" s="101"/>
      <c r="G58" s="101"/>
      <c r="H58" s="101"/>
    </row>
    <row r="59" spans="1:8" ht="15" x14ac:dyDescent="0.2">
      <c r="A59" s="189" t="s">
        <v>152</v>
      </c>
      <c r="B59" s="189"/>
      <c r="C59" s="93">
        <v>11401</v>
      </c>
      <c r="D59" s="94"/>
      <c r="E59" s="94"/>
      <c r="F59" s="94"/>
      <c r="G59" s="94"/>
      <c r="H59" s="94"/>
    </row>
    <row r="60" spans="1:8" ht="15" x14ac:dyDescent="0.2">
      <c r="A60" s="93" t="s">
        <v>153</v>
      </c>
      <c r="B60" s="95"/>
      <c r="C60" s="189" t="str">
        <f>VLOOKUP(C59,'Master Akun'!A6:E70,2,)</f>
        <v>Piutang Karyawan</v>
      </c>
      <c r="D60" s="189"/>
      <c r="E60" s="189"/>
      <c r="F60" s="189"/>
      <c r="G60" s="189"/>
      <c r="H60" s="189"/>
    </row>
    <row r="61" spans="1:8" ht="15" x14ac:dyDescent="0.2">
      <c r="A61" s="96"/>
      <c r="B61" s="95"/>
      <c r="C61" s="96"/>
      <c r="D61" s="96"/>
      <c r="E61" s="96"/>
      <c r="F61" s="96"/>
      <c r="G61" s="96"/>
      <c r="H61" s="96"/>
    </row>
    <row r="62" spans="1:8" ht="15" x14ac:dyDescent="0.15">
      <c r="A62" s="190" t="s">
        <v>142</v>
      </c>
      <c r="B62" s="191" t="s">
        <v>154</v>
      </c>
      <c r="C62" s="191" t="s">
        <v>144</v>
      </c>
      <c r="D62" s="191" t="s">
        <v>145</v>
      </c>
      <c r="E62" s="191" t="s">
        <v>2</v>
      </c>
      <c r="F62" s="191" t="s">
        <v>3</v>
      </c>
      <c r="G62" s="191" t="s">
        <v>155</v>
      </c>
      <c r="H62" s="191"/>
    </row>
    <row r="63" spans="1:8" ht="15" x14ac:dyDescent="0.2">
      <c r="A63" s="190"/>
      <c r="B63" s="191"/>
      <c r="C63" s="191"/>
      <c r="D63" s="191"/>
      <c r="E63" s="191"/>
      <c r="F63" s="191"/>
      <c r="G63" s="97" t="s">
        <v>2</v>
      </c>
      <c r="H63" s="97" t="s">
        <v>3</v>
      </c>
    </row>
    <row r="64" spans="1:8" ht="15" x14ac:dyDescent="0.2">
      <c r="A64" s="98"/>
      <c r="B64" s="66" t="s">
        <v>202</v>
      </c>
      <c r="C64" s="68"/>
      <c r="D64" s="68"/>
      <c r="E64" s="67"/>
      <c r="F64" s="67"/>
      <c r="G64" s="67">
        <f>VLOOKUP(BB!C59,'Master Akun'!A6:E70,4,)</f>
        <v>0</v>
      </c>
      <c r="H64" s="67">
        <f>VLOOKUP(BB!C59,'Master Akun'!A6:E70,5,)</f>
        <v>0</v>
      </c>
    </row>
    <row r="65" spans="1:8" ht="15" x14ac:dyDescent="0.2">
      <c r="A65" s="99"/>
      <c r="B65" s="66" t="s">
        <v>203</v>
      </c>
      <c r="C65" s="68"/>
      <c r="D65" s="68"/>
      <c r="E65" s="67">
        <f ca="1">SUMIF(JU!A7:G117,BB!C59,JU!F7:F117)</f>
        <v>2500000</v>
      </c>
      <c r="F65" s="67">
        <f ca="1">SUMIF(JU!A7:G117,BB!C59,JU!G7:G117)</f>
        <v>500000</v>
      </c>
      <c r="G65" s="67">
        <f ca="1">IF(G64+E65&gt;H64+F65,G64+E65-(H64+F65),0)</f>
        <v>2000000</v>
      </c>
      <c r="H65" s="67"/>
    </row>
    <row r="66" spans="1:8" ht="15" x14ac:dyDescent="0.2">
      <c r="A66" s="99"/>
      <c r="B66" s="66"/>
      <c r="C66" s="68"/>
      <c r="D66" s="68"/>
      <c r="E66" s="67"/>
      <c r="F66" s="67"/>
      <c r="G66" s="67"/>
      <c r="H66" s="67"/>
    </row>
    <row r="67" spans="1:8" ht="15" x14ac:dyDescent="0.2">
      <c r="A67" s="101"/>
      <c r="B67" s="101"/>
      <c r="C67" s="101"/>
      <c r="D67" s="101"/>
      <c r="E67" s="101"/>
      <c r="F67" s="101"/>
      <c r="G67" s="101"/>
      <c r="H67" s="101"/>
    </row>
    <row r="68" spans="1:8" ht="15" x14ac:dyDescent="0.2">
      <c r="A68" s="189" t="s">
        <v>152</v>
      </c>
      <c r="B68" s="189"/>
      <c r="C68" s="93">
        <v>11500</v>
      </c>
      <c r="D68" s="94"/>
      <c r="E68" s="94"/>
      <c r="F68" s="94"/>
      <c r="G68" s="94"/>
      <c r="H68" s="94"/>
    </row>
    <row r="69" spans="1:8" ht="15" x14ac:dyDescent="0.2">
      <c r="A69" s="93" t="s">
        <v>153</v>
      </c>
      <c r="B69" s="95"/>
      <c r="C69" s="189" t="str">
        <f>VLOOKUP(C68,'Master Akun'!A6:E70,2,)</f>
        <v>PERSEDIAAN BARANG DAGANGAN</v>
      </c>
      <c r="D69" s="189"/>
      <c r="E69" s="189"/>
      <c r="F69" s="189"/>
      <c r="G69" s="189"/>
      <c r="H69" s="189"/>
    </row>
    <row r="70" spans="1:8" ht="15" x14ac:dyDescent="0.2">
      <c r="A70" s="96"/>
      <c r="B70" s="95"/>
      <c r="C70" s="96"/>
      <c r="D70" s="96"/>
      <c r="E70" s="96"/>
      <c r="F70" s="96"/>
      <c r="G70" s="96"/>
      <c r="H70" s="96"/>
    </row>
    <row r="71" spans="1:8" ht="15" x14ac:dyDescent="0.15">
      <c r="A71" s="190" t="s">
        <v>142</v>
      </c>
      <c r="B71" s="191" t="s">
        <v>154</v>
      </c>
      <c r="C71" s="191" t="s">
        <v>144</v>
      </c>
      <c r="D71" s="191" t="s">
        <v>145</v>
      </c>
      <c r="E71" s="191" t="s">
        <v>2</v>
      </c>
      <c r="F71" s="191" t="s">
        <v>3</v>
      </c>
      <c r="G71" s="191" t="s">
        <v>155</v>
      </c>
      <c r="H71" s="191"/>
    </row>
    <row r="72" spans="1:8" ht="15" x14ac:dyDescent="0.2">
      <c r="A72" s="190"/>
      <c r="B72" s="191"/>
      <c r="C72" s="191"/>
      <c r="D72" s="191"/>
      <c r="E72" s="191"/>
      <c r="F72" s="191"/>
      <c r="G72" s="97" t="s">
        <v>2</v>
      </c>
      <c r="H72" s="97" t="s">
        <v>3</v>
      </c>
    </row>
    <row r="73" spans="1:8" ht="15" x14ac:dyDescent="0.2">
      <c r="A73" s="98"/>
      <c r="B73" s="66" t="s">
        <v>202</v>
      </c>
      <c r="C73" s="68"/>
      <c r="D73" s="68"/>
      <c r="E73" s="67"/>
      <c r="F73" s="67"/>
      <c r="G73" s="67">
        <f>VLOOKUP(BB!C68,'Master Akun'!A6:E70,4,)</f>
        <v>166380000</v>
      </c>
      <c r="H73" s="67">
        <f>VLOOKUP(BB!C68,'Master Akun'!A6:E70,5,)</f>
        <v>0</v>
      </c>
    </row>
    <row r="74" spans="1:8" ht="15" x14ac:dyDescent="0.2">
      <c r="A74" s="99"/>
      <c r="B74" s="66" t="s">
        <v>203</v>
      </c>
      <c r="C74" s="68"/>
      <c r="D74" s="68"/>
      <c r="E74" s="67">
        <f ca="1">SUMIF(JU!A7:G117,BB!C68,JU!F7:F117)</f>
        <v>23475000</v>
      </c>
      <c r="F74" s="67">
        <f ca="1">SUMIF(JU!A7:G117,BB!C68,JU!G7:G117)</f>
        <v>118390000</v>
      </c>
      <c r="G74" s="67">
        <f ca="1">IF(G73+E74&gt;H73+F74,G73+E74-(H73+F74),0)</f>
        <v>71465000</v>
      </c>
      <c r="H74" s="67"/>
    </row>
    <row r="75" spans="1:8" ht="15" x14ac:dyDescent="0.2">
      <c r="A75" s="99"/>
      <c r="B75" s="66"/>
      <c r="C75" s="68"/>
      <c r="D75" s="68"/>
      <c r="E75" s="67"/>
      <c r="F75" s="67"/>
      <c r="G75" s="67"/>
      <c r="H75" s="67"/>
    </row>
    <row r="76" spans="1:8" ht="15" x14ac:dyDescent="0.2">
      <c r="A76" s="101"/>
      <c r="B76" s="101"/>
      <c r="C76" s="101"/>
      <c r="D76" s="101"/>
      <c r="E76" s="101"/>
      <c r="F76" s="101"/>
      <c r="G76" s="101"/>
      <c r="H76" s="101"/>
    </row>
    <row r="77" spans="1:8" ht="15" x14ac:dyDescent="0.2">
      <c r="A77" s="189" t="s">
        <v>152</v>
      </c>
      <c r="B77" s="189"/>
      <c r="C77" s="93">
        <v>11601</v>
      </c>
      <c r="D77" s="94"/>
      <c r="E77" s="94"/>
      <c r="F77" s="94"/>
      <c r="G77" s="94"/>
      <c r="H77" s="94"/>
    </row>
    <row r="78" spans="1:8" ht="15" x14ac:dyDescent="0.2">
      <c r="A78" s="93" t="s">
        <v>153</v>
      </c>
      <c r="B78" s="95"/>
      <c r="C78" s="189" t="str">
        <f>VLOOKUP(C77,'Master Akun'!A6:E70,2,)</f>
        <v>PPN Masukan</v>
      </c>
      <c r="D78" s="189"/>
      <c r="E78" s="189"/>
      <c r="F78" s="189"/>
      <c r="G78" s="189"/>
      <c r="H78" s="189"/>
    </row>
    <row r="79" spans="1:8" ht="15" x14ac:dyDescent="0.2">
      <c r="A79" s="96"/>
      <c r="B79" s="95"/>
      <c r="C79" s="96"/>
      <c r="D79" s="96"/>
      <c r="E79" s="96"/>
      <c r="F79" s="96"/>
      <c r="G79" s="96"/>
      <c r="H79" s="96"/>
    </row>
    <row r="80" spans="1:8" ht="15" x14ac:dyDescent="0.15">
      <c r="A80" s="190" t="s">
        <v>142</v>
      </c>
      <c r="B80" s="191" t="s">
        <v>154</v>
      </c>
      <c r="C80" s="191" t="s">
        <v>144</v>
      </c>
      <c r="D80" s="191" t="s">
        <v>145</v>
      </c>
      <c r="E80" s="191" t="s">
        <v>2</v>
      </c>
      <c r="F80" s="191" t="s">
        <v>3</v>
      </c>
      <c r="G80" s="191" t="s">
        <v>155</v>
      </c>
      <c r="H80" s="191"/>
    </row>
    <row r="81" spans="1:8" ht="15" x14ac:dyDescent="0.2">
      <c r="A81" s="190"/>
      <c r="B81" s="191"/>
      <c r="C81" s="191"/>
      <c r="D81" s="191"/>
      <c r="E81" s="191"/>
      <c r="F81" s="191"/>
      <c r="G81" s="97" t="s">
        <v>2</v>
      </c>
      <c r="H81" s="97" t="s">
        <v>3</v>
      </c>
    </row>
    <row r="82" spans="1:8" ht="15" x14ac:dyDescent="0.2">
      <c r="A82" s="98"/>
      <c r="B82" s="66" t="s">
        <v>202</v>
      </c>
      <c r="C82" s="68"/>
      <c r="D82" s="68"/>
      <c r="E82" s="67"/>
      <c r="F82" s="67"/>
      <c r="G82" s="67">
        <f>VLOOKUP(BB!C77,'Master Akun'!A6:E70,4,)</f>
        <v>0</v>
      </c>
      <c r="H82" s="67">
        <f>VLOOKUP(BB!C77,'Master Akun'!A6:E70,5,)</f>
        <v>0</v>
      </c>
    </row>
    <row r="83" spans="1:8" ht="15" x14ac:dyDescent="0.2">
      <c r="A83" s="99"/>
      <c r="B83" s="66" t="s">
        <v>203</v>
      </c>
      <c r="C83" s="68"/>
      <c r="D83" s="68"/>
      <c r="E83" s="67">
        <f ca="1">SUMIF(JU!A7:G117,BB!C77,JU!F7:F117)</f>
        <v>2425000</v>
      </c>
      <c r="F83" s="67">
        <f ca="1">SUMIF(JU!A7:G117,BB!C77,JU!G7:G117)</f>
        <v>32500</v>
      </c>
      <c r="G83" s="67">
        <f ca="1">IF(G82+E83&gt;H82+F83,G82+E83-(H82+F83),0)</f>
        <v>2392500</v>
      </c>
      <c r="H83" s="67"/>
    </row>
    <row r="84" spans="1:8" ht="15" x14ac:dyDescent="0.2">
      <c r="A84" s="99"/>
      <c r="B84" s="66"/>
      <c r="C84" s="68"/>
      <c r="D84" s="68"/>
      <c r="E84" s="67"/>
      <c r="F84" s="67"/>
      <c r="G84" s="67"/>
      <c r="H84" s="67"/>
    </row>
    <row r="85" spans="1:8" ht="15" x14ac:dyDescent="0.2">
      <c r="A85" s="101"/>
      <c r="B85" s="101"/>
      <c r="C85" s="101"/>
      <c r="D85" s="101"/>
      <c r="E85" s="101"/>
      <c r="F85" s="101"/>
      <c r="G85" s="101"/>
      <c r="H85" s="101"/>
    </row>
    <row r="86" spans="1:8" ht="15" x14ac:dyDescent="0.2">
      <c r="A86" s="189" t="s">
        <v>152</v>
      </c>
      <c r="B86" s="189"/>
      <c r="C86" s="93">
        <v>11602</v>
      </c>
      <c r="D86" s="94"/>
      <c r="E86" s="94"/>
      <c r="F86" s="94"/>
      <c r="G86" s="94"/>
      <c r="H86" s="94"/>
    </row>
    <row r="87" spans="1:8" ht="15" x14ac:dyDescent="0.2">
      <c r="A87" s="93" t="s">
        <v>153</v>
      </c>
      <c r="B87" s="95"/>
      <c r="C87" s="189" t="str">
        <f>VLOOKUP(C86,'Master Akun'!A6:E70,2,)</f>
        <v>Uang Muka Pembelian</v>
      </c>
      <c r="D87" s="189"/>
      <c r="E87" s="189"/>
      <c r="F87" s="189"/>
      <c r="G87" s="189"/>
      <c r="H87" s="189"/>
    </row>
    <row r="88" spans="1:8" ht="15" x14ac:dyDescent="0.2">
      <c r="A88" s="96"/>
      <c r="B88" s="95"/>
      <c r="C88" s="96"/>
      <c r="D88" s="96"/>
      <c r="E88" s="96"/>
      <c r="F88" s="96"/>
      <c r="G88" s="96"/>
      <c r="H88" s="96"/>
    </row>
    <row r="89" spans="1:8" ht="15" x14ac:dyDescent="0.15">
      <c r="A89" s="190" t="s">
        <v>142</v>
      </c>
      <c r="B89" s="191" t="s">
        <v>154</v>
      </c>
      <c r="C89" s="191" t="s">
        <v>144</v>
      </c>
      <c r="D89" s="191" t="s">
        <v>145</v>
      </c>
      <c r="E89" s="191" t="s">
        <v>2</v>
      </c>
      <c r="F89" s="191" t="s">
        <v>3</v>
      </c>
      <c r="G89" s="191" t="s">
        <v>155</v>
      </c>
      <c r="H89" s="191"/>
    </row>
    <row r="90" spans="1:8" ht="15" x14ac:dyDescent="0.2">
      <c r="A90" s="190"/>
      <c r="B90" s="191"/>
      <c r="C90" s="191"/>
      <c r="D90" s="191"/>
      <c r="E90" s="191"/>
      <c r="F90" s="191"/>
      <c r="G90" s="97" t="s">
        <v>2</v>
      </c>
      <c r="H90" s="97" t="s">
        <v>3</v>
      </c>
    </row>
    <row r="91" spans="1:8" ht="15" x14ac:dyDescent="0.2">
      <c r="A91" s="98"/>
      <c r="B91" s="66" t="s">
        <v>202</v>
      </c>
      <c r="C91" s="68"/>
      <c r="D91" s="68"/>
      <c r="E91" s="67"/>
      <c r="F91" s="67"/>
      <c r="G91" s="67">
        <f>VLOOKUP(BB!C86,'Master Akun'!A6:E70,4,)</f>
        <v>0</v>
      </c>
      <c r="H91" s="67">
        <f>VLOOKUP(BB!C86,'Master Akun'!A6:E70,5,)</f>
        <v>0</v>
      </c>
    </row>
    <row r="92" spans="1:8" ht="15" x14ac:dyDescent="0.2">
      <c r="A92" s="99"/>
      <c r="B92" s="66" t="s">
        <v>203</v>
      </c>
      <c r="C92" s="68"/>
      <c r="D92" s="68"/>
      <c r="E92" s="67">
        <f ca="1">SUMIF(JU!A7:G117,BB!C86,JU!F7:F117)</f>
        <v>6000000</v>
      </c>
      <c r="F92" s="67">
        <f ca="1">SUMIF(JU!A7:G117,BB!C86,JU!G7:G117)</f>
        <v>6000000</v>
      </c>
      <c r="G92" s="67">
        <f ca="1">IF(G91+E92&gt;H91+F92,G91+E92-(H91+F92),0)</f>
        <v>0</v>
      </c>
      <c r="H92" s="67"/>
    </row>
    <row r="93" spans="1:8" ht="15" x14ac:dyDescent="0.2">
      <c r="A93" s="99"/>
      <c r="B93" s="66"/>
      <c r="C93" s="68"/>
      <c r="D93" s="68"/>
      <c r="E93" s="67"/>
      <c r="F93" s="67"/>
      <c r="G93" s="67"/>
      <c r="H93" s="67"/>
    </row>
    <row r="94" spans="1:8" ht="15" x14ac:dyDescent="0.2">
      <c r="A94" s="101"/>
      <c r="B94" s="101"/>
      <c r="C94" s="101"/>
      <c r="D94" s="101"/>
      <c r="E94" s="101"/>
      <c r="F94" s="101"/>
      <c r="G94" s="101"/>
      <c r="H94" s="101"/>
    </row>
    <row r="95" spans="1:8" ht="15" x14ac:dyDescent="0.2">
      <c r="A95" s="189" t="s">
        <v>152</v>
      </c>
      <c r="B95" s="189"/>
      <c r="C95" s="93">
        <v>12101</v>
      </c>
      <c r="D95" s="94"/>
      <c r="E95" s="94"/>
      <c r="F95" s="94"/>
      <c r="G95" s="94"/>
      <c r="H95" s="94"/>
    </row>
    <row r="96" spans="1:8" ht="15" x14ac:dyDescent="0.2">
      <c r="A96" s="93" t="s">
        <v>153</v>
      </c>
      <c r="B96" s="95"/>
      <c r="C96" s="189" t="str">
        <f>VLOOKUP(C95,'Master Akun'!A6:E70,2,)</f>
        <v>Peralatan Kantor</v>
      </c>
      <c r="D96" s="189"/>
      <c r="E96" s="189"/>
      <c r="F96" s="189"/>
      <c r="G96" s="189"/>
      <c r="H96" s="189"/>
    </row>
    <row r="97" spans="1:8" ht="15" x14ac:dyDescent="0.2">
      <c r="A97" s="96"/>
      <c r="B97" s="95"/>
      <c r="C97" s="96"/>
      <c r="D97" s="96"/>
      <c r="E97" s="96"/>
      <c r="F97" s="96"/>
      <c r="G97" s="96"/>
      <c r="H97" s="96"/>
    </row>
    <row r="98" spans="1:8" ht="15" x14ac:dyDescent="0.15">
      <c r="A98" s="190" t="s">
        <v>142</v>
      </c>
      <c r="B98" s="191" t="s">
        <v>154</v>
      </c>
      <c r="C98" s="191" t="s">
        <v>144</v>
      </c>
      <c r="D98" s="191" t="s">
        <v>145</v>
      </c>
      <c r="E98" s="191" t="s">
        <v>2</v>
      </c>
      <c r="F98" s="191" t="s">
        <v>3</v>
      </c>
      <c r="G98" s="191" t="s">
        <v>155</v>
      </c>
      <c r="H98" s="191"/>
    </row>
    <row r="99" spans="1:8" ht="15" x14ac:dyDescent="0.2">
      <c r="A99" s="190"/>
      <c r="B99" s="191"/>
      <c r="C99" s="191"/>
      <c r="D99" s="191"/>
      <c r="E99" s="191"/>
      <c r="F99" s="191"/>
      <c r="G99" s="97" t="s">
        <v>2</v>
      </c>
      <c r="H99" s="97" t="s">
        <v>3</v>
      </c>
    </row>
    <row r="100" spans="1:8" ht="15" x14ac:dyDescent="0.2">
      <c r="A100" s="98"/>
      <c r="B100" s="66" t="s">
        <v>202</v>
      </c>
      <c r="C100" s="68"/>
      <c r="D100" s="68"/>
      <c r="E100" s="67"/>
      <c r="F100" s="67"/>
      <c r="G100" s="67">
        <f>VLOOKUP(BB!C95,'Master Akun'!A6:E70,4,)</f>
        <v>25000000</v>
      </c>
      <c r="H100" s="67">
        <f>VLOOKUP(BB!C95,'Master Akun'!A6:E70,5,)</f>
        <v>0</v>
      </c>
    </row>
    <row r="101" spans="1:8" ht="15" x14ac:dyDescent="0.2">
      <c r="A101" s="99"/>
      <c r="B101" s="66" t="s">
        <v>203</v>
      </c>
      <c r="C101" s="68"/>
      <c r="D101" s="68"/>
      <c r="E101" s="67">
        <f ca="1">SUMIF(JU!A7:G117,BB!C95,JU!F7:F117)</f>
        <v>0</v>
      </c>
      <c r="F101" s="67">
        <f ca="1">SUMIF(JU!A7:G117,BB!C95,JU!G7:G117)</f>
        <v>0</v>
      </c>
      <c r="G101" s="67">
        <f ca="1">IF(G100+E101&gt;H100+F101,G100+E101-(H100+F101),0)</f>
        <v>25000000</v>
      </c>
      <c r="H101" s="67"/>
    </row>
    <row r="102" spans="1:8" ht="15" x14ac:dyDescent="0.2">
      <c r="A102" s="99"/>
      <c r="B102" s="66"/>
      <c r="C102" s="68"/>
      <c r="D102" s="68"/>
      <c r="E102" s="67"/>
      <c r="F102" s="67"/>
      <c r="G102" s="67"/>
      <c r="H102" s="67"/>
    </row>
    <row r="103" spans="1:8" ht="15" x14ac:dyDescent="0.2">
      <c r="A103" s="101"/>
      <c r="B103" s="101"/>
      <c r="C103" s="101"/>
      <c r="D103" s="101"/>
      <c r="E103" s="101"/>
      <c r="F103" s="101"/>
      <c r="G103" s="101"/>
      <c r="H103" s="101"/>
    </row>
    <row r="104" spans="1:8" ht="15" x14ac:dyDescent="0.2">
      <c r="A104" s="189" t="s">
        <v>152</v>
      </c>
      <c r="B104" s="189"/>
      <c r="C104" s="93">
        <v>12102</v>
      </c>
      <c r="D104" s="94"/>
      <c r="E104" s="94"/>
      <c r="F104" s="94"/>
      <c r="G104" s="94"/>
      <c r="H104" s="94"/>
    </row>
    <row r="105" spans="1:8" ht="15" x14ac:dyDescent="0.2">
      <c r="A105" s="93" t="s">
        <v>153</v>
      </c>
      <c r="B105" s="95"/>
      <c r="C105" s="189" t="str">
        <f>VLOOKUP(C104,'Master Akun'!A6:E70,2,)</f>
        <v>Akumulasi Penyusutan Peralatan Kantor</v>
      </c>
      <c r="D105" s="189"/>
      <c r="E105" s="189"/>
      <c r="F105" s="189"/>
      <c r="G105" s="189"/>
      <c r="H105" s="189"/>
    </row>
    <row r="106" spans="1:8" ht="15" x14ac:dyDescent="0.2">
      <c r="A106" s="96"/>
      <c r="B106" s="95"/>
      <c r="C106" s="96"/>
      <c r="D106" s="96"/>
      <c r="E106" s="96"/>
      <c r="F106" s="96"/>
      <c r="G106" s="96"/>
      <c r="H106" s="96"/>
    </row>
    <row r="107" spans="1:8" ht="15" x14ac:dyDescent="0.15">
      <c r="A107" s="190" t="s">
        <v>142</v>
      </c>
      <c r="B107" s="191" t="s">
        <v>154</v>
      </c>
      <c r="C107" s="191" t="s">
        <v>144</v>
      </c>
      <c r="D107" s="191" t="s">
        <v>145</v>
      </c>
      <c r="E107" s="191" t="s">
        <v>2</v>
      </c>
      <c r="F107" s="191" t="s">
        <v>3</v>
      </c>
      <c r="G107" s="191" t="s">
        <v>155</v>
      </c>
      <c r="H107" s="191"/>
    </row>
    <row r="108" spans="1:8" ht="15" x14ac:dyDescent="0.2">
      <c r="A108" s="190"/>
      <c r="B108" s="191"/>
      <c r="C108" s="191"/>
      <c r="D108" s="191"/>
      <c r="E108" s="191"/>
      <c r="F108" s="191"/>
      <c r="G108" s="97" t="s">
        <v>2</v>
      </c>
      <c r="H108" s="97" t="s">
        <v>3</v>
      </c>
    </row>
    <row r="109" spans="1:8" ht="15" x14ac:dyDescent="0.2">
      <c r="A109" s="98"/>
      <c r="B109" s="66" t="s">
        <v>202</v>
      </c>
      <c r="C109" s="68"/>
      <c r="D109" s="68"/>
      <c r="E109" s="67"/>
      <c r="F109" s="67"/>
      <c r="G109" s="67">
        <f>VLOOKUP(BB!C104,'Master Akun'!A6:E70,4,)</f>
        <v>0</v>
      </c>
      <c r="H109" s="67">
        <f>VLOOKUP(BB!C104,'Master Akun'!A6:E70,5,)</f>
        <v>7500000</v>
      </c>
    </row>
    <row r="110" spans="1:8" ht="15" x14ac:dyDescent="0.2">
      <c r="A110" s="99"/>
      <c r="B110" s="66" t="s">
        <v>203</v>
      </c>
      <c r="C110" s="68"/>
      <c r="D110" s="68"/>
      <c r="E110" s="67">
        <f ca="1">SUMIF(JU!A7:G117,BB!C104,JU!F7:F117)</f>
        <v>0</v>
      </c>
      <c r="F110" s="67">
        <f ca="1">SUMIF(JU!A7:G117,BB!C104,JU!G7:G117)</f>
        <v>400000</v>
      </c>
      <c r="G110" s="67">
        <f ca="1">IF(G109+E110&gt;H109+F110,G109+E110-(H109+F110),0)</f>
        <v>0</v>
      </c>
      <c r="H110" s="67">
        <f ca="1">IF(H109+F110&gt;G109+E110,H109+F110-(G109+E110),0)</f>
        <v>7900000</v>
      </c>
    </row>
    <row r="111" spans="1:8" ht="15" x14ac:dyDescent="0.2">
      <c r="A111" s="99"/>
      <c r="B111" s="66"/>
      <c r="C111" s="68"/>
      <c r="D111" s="68"/>
      <c r="E111" s="67"/>
      <c r="F111" s="67"/>
      <c r="G111" s="67"/>
      <c r="H111" s="67"/>
    </row>
    <row r="112" spans="1:8" ht="15" x14ac:dyDescent="0.2">
      <c r="A112" s="101"/>
      <c r="B112" s="101"/>
      <c r="C112" s="101"/>
      <c r="D112" s="101"/>
      <c r="E112" s="101"/>
      <c r="F112" s="101"/>
      <c r="G112" s="101"/>
      <c r="H112" s="101"/>
    </row>
    <row r="113" spans="1:8" ht="15" x14ac:dyDescent="0.2">
      <c r="A113" s="189" t="s">
        <v>152</v>
      </c>
      <c r="B113" s="189"/>
      <c r="C113" s="93">
        <v>12201</v>
      </c>
      <c r="D113" s="94"/>
      <c r="E113" s="94"/>
      <c r="F113" s="94"/>
      <c r="G113" s="94"/>
      <c r="H113" s="94"/>
    </row>
    <row r="114" spans="1:8" ht="15" x14ac:dyDescent="0.2">
      <c r="A114" s="93" t="s">
        <v>153</v>
      </c>
      <c r="B114" s="95"/>
      <c r="C114" s="189" t="str">
        <f>VLOOKUP(C113,'Master Akun'!A6:E70,2,)</f>
        <v>Kendaraan</v>
      </c>
      <c r="D114" s="189"/>
      <c r="E114" s="189"/>
      <c r="F114" s="189"/>
      <c r="G114" s="189"/>
      <c r="H114" s="189"/>
    </row>
    <row r="115" spans="1:8" ht="15" x14ac:dyDescent="0.2">
      <c r="A115" s="96"/>
      <c r="B115" s="95"/>
      <c r="C115" s="96"/>
      <c r="D115" s="96"/>
      <c r="E115" s="96"/>
      <c r="F115" s="96"/>
      <c r="G115" s="96"/>
      <c r="H115" s="96"/>
    </row>
    <row r="116" spans="1:8" ht="15" x14ac:dyDescent="0.15">
      <c r="A116" s="190" t="s">
        <v>142</v>
      </c>
      <c r="B116" s="191" t="s">
        <v>154</v>
      </c>
      <c r="C116" s="191" t="s">
        <v>144</v>
      </c>
      <c r="D116" s="191" t="s">
        <v>145</v>
      </c>
      <c r="E116" s="191" t="s">
        <v>2</v>
      </c>
      <c r="F116" s="191" t="s">
        <v>3</v>
      </c>
      <c r="G116" s="191" t="s">
        <v>155</v>
      </c>
      <c r="H116" s="191"/>
    </row>
    <row r="117" spans="1:8" ht="15" x14ac:dyDescent="0.2">
      <c r="A117" s="190"/>
      <c r="B117" s="191"/>
      <c r="C117" s="191"/>
      <c r="D117" s="191"/>
      <c r="E117" s="191"/>
      <c r="F117" s="191"/>
      <c r="G117" s="97" t="s">
        <v>2</v>
      </c>
      <c r="H117" s="97" t="s">
        <v>3</v>
      </c>
    </row>
    <row r="118" spans="1:8" ht="15" x14ac:dyDescent="0.2">
      <c r="A118" s="98"/>
      <c r="B118" s="66" t="s">
        <v>202</v>
      </c>
      <c r="C118" s="68"/>
      <c r="D118" s="68"/>
      <c r="E118" s="67"/>
      <c r="F118" s="67"/>
      <c r="G118" s="67">
        <f>VLOOKUP(BB!C113,'Master Akun'!A6:E70,4,)</f>
        <v>45000000</v>
      </c>
      <c r="H118" s="67">
        <f>VLOOKUP(BB!C113,'Master Akun'!A6:E70,5,)</f>
        <v>0</v>
      </c>
    </row>
    <row r="119" spans="1:8" ht="15" x14ac:dyDescent="0.2">
      <c r="A119" s="99"/>
      <c r="B119" s="66" t="s">
        <v>203</v>
      </c>
      <c r="C119" s="68"/>
      <c r="D119" s="68"/>
      <c r="E119" s="67">
        <f ca="1">SUMIF(JU!A7:G117,BB!C113,JU!F7:F117)</f>
        <v>11500000</v>
      </c>
      <c r="F119" s="67">
        <f ca="1">SUMIF(JU!A7:G117,BB!C113,JU!G7:G117)</f>
        <v>6000000</v>
      </c>
      <c r="G119" s="67">
        <f ca="1">IF(G118+E119&gt;H118+F119,G118+E119-(H118+F119),0)</f>
        <v>50500000</v>
      </c>
      <c r="H119" s="67">
        <f ca="1">IF(H118+F119&gt;G118+E119,H118+F119-(G118+E119),0)</f>
        <v>0</v>
      </c>
    </row>
    <row r="120" spans="1:8" ht="15" x14ac:dyDescent="0.2">
      <c r="A120" s="99"/>
      <c r="B120" s="66"/>
      <c r="C120" s="68"/>
      <c r="D120" s="68"/>
      <c r="E120" s="67"/>
      <c r="F120" s="67"/>
      <c r="G120" s="67"/>
      <c r="H120" s="67"/>
    </row>
    <row r="121" spans="1:8" ht="15" x14ac:dyDescent="0.2">
      <c r="A121" s="101"/>
      <c r="B121" s="101"/>
      <c r="C121" s="101"/>
      <c r="D121" s="101"/>
      <c r="E121" s="101"/>
      <c r="F121" s="101"/>
      <c r="G121" s="101"/>
      <c r="H121" s="101"/>
    </row>
    <row r="122" spans="1:8" ht="15" x14ac:dyDescent="0.2">
      <c r="A122" s="189" t="s">
        <v>152</v>
      </c>
      <c r="B122" s="189"/>
      <c r="C122" s="93">
        <v>12202</v>
      </c>
      <c r="D122" s="94"/>
      <c r="E122" s="94"/>
      <c r="F122" s="94"/>
      <c r="G122" s="94"/>
      <c r="H122" s="94"/>
    </row>
    <row r="123" spans="1:8" ht="15" x14ac:dyDescent="0.2">
      <c r="A123" s="93" t="s">
        <v>153</v>
      </c>
      <c r="B123" s="95"/>
      <c r="C123" s="189" t="str">
        <f>VLOOKUP(C122,'Master Akun'!A6:E70,2,)</f>
        <v>Akumulasi Penyusutan Kendaraan</v>
      </c>
      <c r="D123" s="189"/>
      <c r="E123" s="189"/>
      <c r="F123" s="189"/>
      <c r="G123" s="189"/>
      <c r="H123" s="189"/>
    </row>
    <row r="124" spans="1:8" ht="15" x14ac:dyDescent="0.2">
      <c r="A124" s="96"/>
      <c r="B124" s="95"/>
      <c r="C124" s="96"/>
      <c r="D124" s="96"/>
      <c r="E124" s="96"/>
      <c r="F124" s="96"/>
      <c r="G124" s="96"/>
      <c r="H124" s="96"/>
    </row>
    <row r="125" spans="1:8" ht="15" x14ac:dyDescent="0.15">
      <c r="A125" s="190" t="s">
        <v>142</v>
      </c>
      <c r="B125" s="191" t="s">
        <v>154</v>
      </c>
      <c r="C125" s="191" t="s">
        <v>144</v>
      </c>
      <c r="D125" s="191" t="s">
        <v>145</v>
      </c>
      <c r="E125" s="191" t="s">
        <v>2</v>
      </c>
      <c r="F125" s="191" t="s">
        <v>3</v>
      </c>
      <c r="G125" s="191" t="s">
        <v>155</v>
      </c>
      <c r="H125" s="191"/>
    </row>
    <row r="126" spans="1:8" ht="15" x14ac:dyDescent="0.2">
      <c r="A126" s="190"/>
      <c r="B126" s="191"/>
      <c r="C126" s="191"/>
      <c r="D126" s="191"/>
      <c r="E126" s="191"/>
      <c r="F126" s="191"/>
      <c r="G126" s="97" t="s">
        <v>2</v>
      </c>
      <c r="H126" s="97" t="s">
        <v>3</v>
      </c>
    </row>
    <row r="127" spans="1:8" ht="15" x14ac:dyDescent="0.2">
      <c r="A127" s="98"/>
      <c r="B127" s="66" t="s">
        <v>202</v>
      </c>
      <c r="C127" s="68"/>
      <c r="D127" s="68"/>
      <c r="E127" s="67"/>
      <c r="F127" s="67"/>
      <c r="G127" s="67">
        <f>VLOOKUP(BB!C122,'Master Akun'!A6:E70,4,)</f>
        <v>0</v>
      </c>
      <c r="H127" s="67">
        <f>VLOOKUP(BB!C122,'Master Akun'!A6:E70,5,)</f>
        <v>25000000</v>
      </c>
    </row>
    <row r="128" spans="1:8" ht="15" x14ac:dyDescent="0.2">
      <c r="A128" s="99"/>
      <c r="B128" s="66" t="s">
        <v>203</v>
      </c>
      <c r="C128" s="68"/>
      <c r="D128" s="68"/>
      <c r="E128" s="67">
        <f ca="1">SUMIF(JU!A7:G117,BB!C122,JU!F7:F117)</f>
        <v>1500000</v>
      </c>
      <c r="F128" s="67">
        <f ca="1">SUMIF(JU!A7:G117,BB!C122,JU!G7:G117)</f>
        <v>500000</v>
      </c>
      <c r="G128" s="67">
        <f ca="1">IF(G127+E128&gt;H127+F128,G127+E128-(H127+F128),0)</f>
        <v>0</v>
      </c>
      <c r="H128" s="67">
        <f ca="1">IF(H127+F128&gt;G127+E128,H127+F128-(G127+E128),0)</f>
        <v>24000000</v>
      </c>
    </row>
    <row r="129" spans="1:8" ht="15" x14ac:dyDescent="0.2">
      <c r="A129" s="99"/>
      <c r="B129" s="66"/>
      <c r="C129" s="68"/>
      <c r="D129" s="68"/>
      <c r="E129" s="67"/>
      <c r="F129" s="67"/>
      <c r="G129" s="67"/>
      <c r="H129" s="67"/>
    </row>
    <row r="130" spans="1:8" ht="15" x14ac:dyDescent="0.2">
      <c r="A130" s="101"/>
      <c r="B130" s="101"/>
      <c r="C130" s="101"/>
      <c r="D130" s="101"/>
      <c r="E130" s="101"/>
      <c r="F130" s="101"/>
      <c r="G130" s="101"/>
      <c r="H130" s="101"/>
    </row>
    <row r="131" spans="1:8" ht="15" x14ac:dyDescent="0.2">
      <c r="A131" s="189" t="s">
        <v>152</v>
      </c>
      <c r="B131" s="189"/>
      <c r="C131" s="93">
        <v>21100</v>
      </c>
      <c r="D131" s="94"/>
      <c r="E131" s="94"/>
      <c r="F131" s="94"/>
      <c r="G131" s="94"/>
      <c r="H131" s="94"/>
    </row>
    <row r="132" spans="1:8" ht="15" x14ac:dyDescent="0.2">
      <c r="A132" s="93" t="s">
        <v>153</v>
      </c>
      <c r="B132" s="95"/>
      <c r="C132" s="189" t="str">
        <f>VLOOKUP(C131,'Master Akun'!A6:E70,2,)</f>
        <v>Hutang Usaha</v>
      </c>
      <c r="D132" s="189"/>
      <c r="E132" s="189"/>
      <c r="F132" s="189"/>
      <c r="G132" s="189"/>
      <c r="H132" s="189"/>
    </row>
    <row r="133" spans="1:8" ht="15" x14ac:dyDescent="0.2">
      <c r="A133" s="96"/>
      <c r="B133" s="95"/>
      <c r="C133" s="96"/>
      <c r="D133" s="96"/>
      <c r="E133" s="96"/>
      <c r="F133" s="96"/>
      <c r="G133" s="96"/>
      <c r="H133" s="96"/>
    </row>
    <row r="134" spans="1:8" ht="15" x14ac:dyDescent="0.15">
      <c r="A134" s="190" t="s">
        <v>142</v>
      </c>
      <c r="B134" s="191" t="s">
        <v>154</v>
      </c>
      <c r="C134" s="191" t="s">
        <v>144</v>
      </c>
      <c r="D134" s="191" t="s">
        <v>145</v>
      </c>
      <c r="E134" s="191" t="s">
        <v>2</v>
      </c>
      <c r="F134" s="191" t="s">
        <v>3</v>
      </c>
      <c r="G134" s="191" t="s">
        <v>155</v>
      </c>
      <c r="H134" s="191"/>
    </row>
    <row r="135" spans="1:8" ht="15" x14ac:dyDescent="0.2">
      <c r="A135" s="190"/>
      <c r="B135" s="191"/>
      <c r="C135" s="191"/>
      <c r="D135" s="191"/>
      <c r="E135" s="191"/>
      <c r="F135" s="191"/>
      <c r="G135" s="97" t="s">
        <v>2</v>
      </c>
      <c r="H135" s="97" t="s">
        <v>3</v>
      </c>
    </row>
    <row r="136" spans="1:8" ht="15" x14ac:dyDescent="0.2">
      <c r="A136" s="98"/>
      <c r="B136" s="66" t="s">
        <v>202</v>
      </c>
      <c r="C136" s="68"/>
      <c r="D136" s="68"/>
      <c r="E136" s="67"/>
      <c r="F136" s="67"/>
      <c r="G136" s="67">
        <f>VLOOKUP(BB!C131,'Master Akun'!A6:E70,4,)</f>
        <v>0</v>
      </c>
      <c r="H136" s="67">
        <f>VLOOKUP(BB!C131,'Master Akun'!A6:E70,5,)</f>
        <v>75000000</v>
      </c>
    </row>
    <row r="137" spans="1:8" ht="15" x14ac:dyDescent="0.2">
      <c r="A137" s="99"/>
      <c r="B137" s="66" t="s">
        <v>203</v>
      </c>
      <c r="C137" s="68"/>
      <c r="D137" s="68"/>
      <c r="E137" s="67">
        <f ca="1">SUMIF(JU!A7:G117,BB!C131,JU!F7:F117)</f>
        <v>46357500</v>
      </c>
      <c r="F137" s="67">
        <f ca="1">SUMIF(JU!A7:G117,BB!C131,JU!G7:G117)</f>
        <v>17925000</v>
      </c>
      <c r="G137" s="67">
        <f ca="1">IF(G136+E137&gt;H136+F137,G136+E137-(H136+F137),0)</f>
        <v>0</v>
      </c>
      <c r="H137" s="67">
        <f ca="1">IF(H136+F137&gt;G136+E137,H136+F137-(G136+E137),0)</f>
        <v>46567500</v>
      </c>
    </row>
    <row r="138" spans="1:8" ht="15" x14ac:dyDescent="0.2">
      <c r="A138" s="99"/>
      <c r="B138" s="66"/>
      <c r="C138" s="68"/>
      <c r="D138" s="68"/>
      <c r="E138" s="67"/>
      <c r="F138" s="67"/>
      <c r="G138" s="67"/>
      <c r="H138" s="67"/>
    </row>
    <row r="139" spans="1:8" ht="15" x14ac:dyDescent="0.2">
      <c r="A139" s="101"/>
      <c r="B139" s="101"/>
      <c r="C139" s="101"/>
      <c r="D139" s="101"/>
      <c r="E139" s="101"/>
      <c r="F139" s="101"/>
      <c r="G139" s="101"/>
      <c r="H139" s="101"/>
    </row>
    <row r="140" spans="1:8" ht="15" x14ac:dyDescent="0.2">
      <c r="A140" s="189" t="s">
        <v>152</v>
      </c>
      <c r="B140" s="189"/>
      <c r="C140" s="93">
        <v>21200</v>
      </c>
      <c r="D140" s="94"/>
      <c r="E140" s="94"/>
      <c r="F140" s="94"/>
      <c r="G140" s="94"/>
      <c r="H140" s="94"/>
    </row>
    <row r="141" spans="1:8" ht="15" x14ac:dyDescent="0.2">
      <c r="A141" s="93" t="s">
        <v>153</v>
      </c>
      <c r="B141" s="95"/>
      <c r="C141" s="189" t="str">
        <f>VLOOKUP(C140,'Master Akun'!A6:E70,2,)</f>
        <v>Pendapatan Diterima Dimuka- Jasa Kirim</v>
      </c>
      <c r="D141" s="189"/>
      <c r="E141" s="189"/>
      <c r="F141" s="189"/>
      <c r="G141" s="189"/>
      <c r="H141" s="189"/>
    </row>
    <row r="142" spans="1:8" ht="15" x14ac:dyDescent="0.2">
      <c r="A142" s="96"/>
      <c r="B142" s="95"/>
      <c r="C142" s="96"/>
      <c r="D142" s="96"/>
      <c r="E142" s="96"/>
      <c r="F142" s="96"/>
      <c r="G142" s="96"/>
      <c r="H142" s="96"/>
    </row>
    <row r="143" spans="1:8" ht="15" x14ac:dyDescent="0.15">
      <c r="A143" s="190" t="s">
        <v>142</v>
      </c>
      <c r="B143" s="191" t="s">
        <v>154</v>
      </c>
      <c r="C143" s="191" t="s">
        <v>144</v>
      </c>
      <c r="D143" s="191" t="s">
        <v>145</v>
      </c>
      <c r="E143" s="191" t="s">
        <v>2</v>
      </c>
      <c r="F143" s="191" t="s">
        <v>3</v>
      </c>
      <c r="G143" s="191" t="s">
        <v>155</v>
      </c>
      <c r="H143" s="191"/>
    </row>
    <row r="144" spans="1:8" ht="15" x14ac:dyDescent="0.2">
      <c r="A144" s="190"/>
      <c r="B144" s="191"/>
      <c r="C144" s="191"/>
      <c r="D144" s="191"/>
      <c r="E144" s="191"/>
      <c r="F144" s="191"/>
      <c r="G144" s="97" t="s">
        <v>2</v>
      </c>
      <c r="H144" s="97" t="s">
        <v>3</v>
      </c>
    </row>
    <row r="145" spans="1:8" ht="15" x14ac:dyDescent="0.2">
      <c r="A145" s="98"/>
      <c r="B145" s="66" t="s">
        <v>202</v>
      </c>
      <c r="C145" s="68"/>
      <c r="D145" s="68"/>
      <c r="E145" s="67"/>
      <c r="F145" s="67"/>
      <c r="G145" s="67">
        <f>VLOOKUP(BB!C140,'Master Akun'!A6:E70,4,)</f>
        <v>0</v>
      </c>
      <c r="H145" s="67">
        <f>VLOOKUP(BB!C140,'Master Akun'!A6:E70,5,)</f>
        <v>0</v>
      </c>
    </row>
    <row r="146" spans="1:8" ht="15" x14ac:dyDescent="0.2">
      <c r="A146" s="99"/>
      <c r="B146" s="66" t="s">
        <v>203</v>
      </c>
      <c r="C146" s="68"/>
      <c r="D146" s="68"/>
      <c r="E146" s="67">
        <f ca="1">SUMIF(JU!A7:G117,BB!C140,JU!F7:F117)</f>
        <v>0</v>
      </c>
      <c r="F146" s="67">
        <f ca="1">SUMIF(JU!A7:G117,BB!C140,JU!G7:G117)</f>
        <v>200000</v>
      </c>
      <c r="G146" s="67">
        <f ca="1">IF(G145+E146&gt;H145+F146,G145+E146-(H145+F146),0)</f>
        <v>0</v>
      </c>
      <c r="H146" s="67">
        <f ca="1">IF(H145+F146&gt;G145+E146,H145+F146-(G145+E146),0)</f>
        <v>200000</v>
      </c>
    </row>
    <row r="147" spans="1:8" ht="15" x14ac:dyDescent="0.2">
      <c r="A147" s="99"/>
      <c r="B147" s="66"/>
      <c r="C147" s="68"/>
      <c r="D147" s="68"/>
      <c r="E147" s="67"/>
      <c r="F147" s="67"/>
      <c r="G147" s="67"/>
      <c r="H147" s="67"/>
    </row>
    <row r="148" spans="1:8" ht="15" x14ac:dyDescent="0.2">
      <c r="A148" s="101"/>
      <c r="B148" s="101"/>
      <c r="C148" s="101"/>
      <c r="D148" s="101"/>
      <c r="E148" s="101"/>
      <c r="F148" s="101"/>
      <c r="G148" s="101"/>
      <c r="H148" s="101"/>
    </row>
    <row r="149" spans="1:8" ht="15" x14ac:dyDescent="0.2">
      <c r="A149" s="189" t="s">
        <v>152</v>
      </c>
      <c r="B149" s="189"/>
      <c r="C149" s="93">
        <v>21300</v>
      </c>
      <c r="D149" s="94"/>
      <c r="E149" s="94"/>
      <c r="F149" s="94"/>
      <c r="G149" s="94"/>
      <c r="H149" s="94"/>
    </row>
    <row r="150" spans="1:8" ht="15" x14ac:dyDescent="0.2">
      <c r="A150" s="93" t="s">
        <v>153</v>
      </c>
      <c r="B150" s="95"/>
      <c r="C150" s="189" t="str">
        <f>VLOOKUP(C149,'Master Akun'!A6:E70,2,)</f>
        <v>Hutang Bunga</v>
      </c>
      <c r="D150" s="189"/>
      <c r="E150" s="189"/>
      <c r="F150" s="189"/>
      <c r="G150" s="189"/>
      <c r="H150" s="189"/>
    </row>
    <row r="151" spans="1:8" ht="15" x14ac:dyDescent="0.2">
      <c r="A151" s="96"/>
      <c r="B151" s="95"/>
      <c r="C151" s="96"/>
      <c r="D151" s="96"/>
      <c r="E151" s="96"/>
      <c r="F151" s="96"/>
      <c r="G151" s="96"/>
      <c r="H151" s="96"/>
    </row>
    <row r="152" spans="1:8" ht="15" x14ac:dyDescent="0.15">
      <c r="A152" s="190" t="s">
        <v>142</v>
      </c>
      <c r="B152" s="191" t="s">
        <v>154</v>
      </c>
      <c r="C152" s="191" t="s">
        <v>144</v>
      </c>
      <c r="D152" s="191" t="s">
        <v>145</v>
      </c>
      <c r="E152" s="191" t="s">
        <v>2</v>
      </c>
      <c r="F152" s="191" t="s">
        <v>3</v>
      </c>
      <c r="G152" s="191" t="s">
        <v>155</v>
      </c>
      <c r="H152" s="191"/>
    </row>
    <row r="153" spans="1:8" ht="15" x14ac:dyDescent="0.2">
      <c r="A153" s="190"/>
      <c r="B153" s="191"/>
      <c r="C153" s="191"/>
      <c r="D153" s="191"/>
      <c r="E153" s="191"/>
      <c r="F153" s="191"/>
      <c r="G153" s="97" t="s">
        <v>2</v>
      </c>
      <c r="H153" s="97" t="s">
        <v>3</v>
      </c>
    </row>
    <row r="154" spans="1:8" ht="15" x14ac:dyDescent="0.2">
      <c r="A154" s="98"/>
      <c r="B154" s="66" t="s">
        <v>202</v>
      </c>
      <c r="C154" s="68"/>
      <c r="D154" s="68"/>
      <c r="E154" s="67"/>
      <c r="F154" s="67"/>
      <c r="G154" s="67">
        <f>VLOOKUP(BB!C149,'Master Akun'!A6:E70,4,)</f>
        <v>0</v>
      </c>
      <c r="H154" s="67">
        <f>VLOOKUP(BB!C149,'Master Akun'!A6:E70,5,)</f>
        <v>0</v>
      </c>
    </row>
    <row r="155" spans="1:8" ht="15" x14ac:dyDescent="0.2">
      <c r="A155" s="99"/>
      <c r="B155" s="66" t="s">
        <v>203</v>
      </c>
      <c r="C155" s="68"/>
      <c r="D155" s="68"/>
      <c r="E155" s="67">
        <f ca="1">SUMIF(JU!A7:G117,BB!C149,JU!F7:F117)</f>
        <v>0</v>
      </c>
      <c r="F155" s="67">
        <f ca="1">SUMIF(JU!A7:G117,BB!C149,JU!G7:G117)</f>
        <v>1500000</v>
      </c>
      <c r="G155" s="67">
        <f ca="1">IF(G154+E155&gt;H154+F155,G154+E155-(H154+F155),0)</f>
        <v>0</v>
      </c>
      <c r="H155" s="67">
        <f ca="1">IF(H154+F155&gt;G154+E155,H154+F155-(G154+E155),0)</f>
        <v>1500000</v>
      </c>
    </row>
    <row r="156" spans="1:8" ht="15" x14ac:dyDescent="0.2">
      <c r="A156" s="99"/>
      <c r="B156" s="66"/>
      <c r="C156" s="68"/>
      <c r="D156" s="68"/>
      <c r="E156" s="67"/>
      <c r="F156" s="67"/>
      <c r="G156" s="67"/>
      <c r="H156" s="67"/>
    </row>
    <row r="157" spans="1:8" ht="15" x14ac:dyDescent="0.2">
      <c r="A157" s="101"/>
      <c r="B157" s="101"/>
      <c r="C157" s="101"/>
      <c r="D157" s="101"/>
      <c r="E157" s="101"/>
      <c r="F157" s="101"/>
      <c r="G157" s="101"/>
      <c r="H157" s="101"/>
    </row>
    <row r="158" spans="1:8" ht="15" x14ac:dyDescent="0.2">
      <c r="A158" s="189" t="s">
        <v>152</v>
      </c>
      <c r="B158" s="189"/>
      <c r="C158" s="93">
        <v>21400</v>
      </c>
      <c r="D158" s="94"/>
      <c r="E158" s="94"/>
      <c r="F158" s="94"/>
      <c r="G158" s="94"/>
      <c r="H158" s="94"/>
    </row>
    <row r="159" spans="1:8" ht="15" x14ac:dyDescent="0.2">
      <c r="A159" s="93" t="s">
        <v>153</v>
      </c>
      <c r="B159" s="95"/>
      <c r="C159" s="189" t="str">
        <f>VLOOKUP(C158,'Master Akun'!A6:E70,2,)</f>
        <v>Hutang Pajak</v>
      </c>
      <c r="D159" s="189"/>
      <c r="E159" s="189"/>
      <c r="F159" s="189"/>
      <c r="G159" s="189"/>
      <c r="H159" s="189"/>
    </row>
    <row r="160" spans="1:8" ht="15" x14ac:dyDescent="0.2">
      <c r="A160" s="96"/>
      <c r="B160" s="95"/>
      <c r="C160" s="96"/>
      <c r="D160" s="96"/>
      <c r="E160" s="96"/>
      <c r="F160" s="96"/>
      <c r="G160" s="96"/>
      <c r="H160" s="96"/>
    </row>
    <row r="161" spans="1:8" ht="15" x14ac:dyDescent="0.15">
      <c r="A161" s="190" t="s">
        <v>142</v>
      </c>
      <c r="B161" s="191" t="s">
        <v>154</v>
      </c>
      <c r="C161" s="191" t="s">
        <v>144</v>
      </c>
      <c r="D161" s="191" t="s">
        <v>145</v>
      </c>
      <c r="E161" s="191" t="s">
        <v>2</v>
      </c>
      <c r="F161" s="191" t="s">
        <v>3</v>
      </c>
      <c r="G161" s="191" t="s">
        <v>155</v>
      </c>
      <c r="H161" s="191"/>
    </row>
    <row r="162" spans="1:8" ht="15" x14ac:dyDescent="0.2">
      <c r="A162" s="190"/>
      <c r="B162" s="191"/>
      <c r="C162" s="191"/>
      <c r="D162" s="191"/>
      <c r="E162" s="191"/>
      <c r="F162" s="191"/>
      <c r="G162" s="97" t="s">
        <v>2</v>
      </c>
      <c r="H162" s="97" t="s">
        <v>3</v>
      </c>
    </row>
    <row r="163" spans="1:8" ht="15" x14ac:dyDescent="0.2">
      <c r="A163" s="98"/>
      <c r="B163" s="66" t="s">
        <v>202</v>
      </c>
      <c r="C163" s="68"/>
      <c r="D163" s="68"/>
      <c r="E163" s="67"/>
      <c r="F163" s="67"/>
      <c r="G163" s="67">
        <f>VLOOKUP(BB!C158,'Master Akun'!A6:E70,4,)</f>
        <v>0</v>
      </c>
      <c r="H163" s="67">
        <f>VLOOKUP(BB!C158,'Master Akun'!A6:E70,5,)</f>
        <v>0</v>
      </c>
    </row>
    <row r="164" spans="1:8" ht="15" x14ac:dyDescent="0.2">
      <c r="A164" s="99"/>
      <c r="B164" s="66" t="s">
        <v>203</v>
      </c>
      <c r="C164" s="68"/>
      <c r="D164" s="68"/>
      <c r="E164" s="67">
        <f ca="1">SUMIF(JU!A7:G117,BB!C158,JU!F7:F117)</f>
        <v>0</v>
      </c>
      <c r="F164" s="67">
        <f ca="1">SUMIF(JU!A7:G117,BB!C158,JU!G7:G117)</f>
        <v>0</v>
      </c>
      <c r="G164" s="67">
        <f ca="1">IF(G163+E164&gt;H163+F164,G163+E164-(H163+F164),0)</f>
        <v>0</v>
      </c>
      <c r="H164" s="67">
        <f ca="1">IF(H163+F164&gt;G163+E164,H163+F164-(G163+E164),0)</f>
        <v>0</v>
      </c>
    </row>
    <row r="165" spans="1:8" ht="15" x14ac:dyDescent="0.2">
      <c r="A165" s="99"/>
      <c r="B165" s="66"/>
      <c r="C165" s="68"/>
      <c r="D165" s="68"/>
      <c r="E165" s="67"/>
      <c r="F165" s="67"/>
      <c r="G165" s="67"/>
      <c r="H165" s="67"/>
    </row>
    <row r="166" spans="1:8" ht="15" x14ac:dyDescent="0.2">
      <c r="A166" s="101"/>
      <c r="B166" s="101"/>
      <c r="C166" s="101"/>
      <c r="D166" s="101"/>
      <c r="E166" s="101"/>
      <c r="F166" s="101"/>
      <c r="G166" s="101"/>
      <c r="H166" s="101"/>
    </row>
    <row r="167" spans="1:8" ht="15" x14ac:dyDescent="0.2">
      <c r="A167" s="189" t="s">
        <v>152</v>
      </c>
      <c r="B167" s="189"/>
      <c r="C167" s="93">
        <v>21401</v>
      </c>
      <c r="D167" s="94"/>
      <c r="E167" s="94"/>
      <c r="F167" s="94"/>
      <c r="G167" s="94"/>
      <c r="H167" s="94"/>
    </row>
    <row r="168" spans="1:8" ht="15" x14ac:dyDescent="0.2">
      <c r="A168" s="93" t="s">
        <v>153</v>
      </c>
      <c r="B168" s="95"/>
      <c r="C168" s="189" t="str">
        <f>VLOOKUP(C167,'Master Akun'!A6:E70,2,)</f>
        <v>Utang PPh Pasal 21</v>
      </c>
      <c r="D168" s="189"/>
      <c r="E168" s="189"/>
      <c r="F168" s="189"/>
      <c r="G168" s="189"/>
      <c r="H168" s="189"/>
    </row>
    <row r="169" spans="1:8" ht="15" x14ac:dyDescent="0.2">
      <c r="A169" s="96"/>
      <c r="B169" s="95"/>
      <c r="C169" s="96"/>
      <c r="D169" s="96"/>
      <c r="E169" s="96"/>
      <c r="F169" s="96"/>
      <c r="G169" s="96"/>
      <c r="H169" s="96"/>
    </row>
    <row r="170" spans="1:8" ht="15" x14ac:dyDescent="0.15">
      <c r="A170" s="190" t="s">
        <v>142</v>
      </c>
      <c r="B170" s="191" t="s">
        <v>154</v>
      </c>
      <c r="C170" s="191" t="s">
        <v>144</v>
      </c>
      <c r="D170" s="191" t="s">
        <v>145</v>
      </c>
      <c r="E170" s="191" t="s">
        <v>2</v>
      </c>
      <c r="F170" s="191" t="s">
        <v>3</v>
      </c>
      <c r="G170" s="191" t="s">
        <v>155</v>
      </c>
      <c r="H170" s="191"/>
    </row>
    <row r="171" spans="1:8" ht="15" x14ac:dyDescent="0.2">
      <c r="A171" s="190"/>
      <c r="B171" s="191"/>
      <c r="C171" s="191"/>
      <c r="D171" s="191"/>
      <c r="E171" s="191"/>
      <c r="F171" s="191"/>
      <c r="G171" s="97" t="s">
        <v>2</v>
      </c>
      <c r="H171" s="97" t="s">
        <v>3</v>
      </c>
    </row>
    <row r="172" spans="1:8" ht="15" x14ac:dyDescent="0.2">
      <c r="A172" s="98"/>
      <c r="B172" s="66" t="s">
        <v>202</v>
      </c>
      <c r="C172" s="68"/>
      <c r="D172" s="68"/>
      <c r="E172" s="67"/>
      <c r="F172" s="67"/>
      <c r="G172" s="67">
        <f>VLOOKUP(BB!C167,'Master Akun'!A6:E70,4,)</f>
        <v>0</v>
      </c>
      <c r="H172" s="67">
        <f>VLOOKUP(BB!C167,'Master Akun'!A6:E70,5,)</f>
        <v>0</v>
      </c>
    </row>
    <row r="173" spans="1:8" ht="15" x14ac:dyDescent="0.2">
      <c r="A173" s="99"/>
      <c r="B173" s="66" t="s">
        <v>203</v>
      </c>
      <c r="C173" s="68"/>
      <c r="D173" s="68"/>
      <c r="E173" s="67">
        <f ca="1">SUMIF(JU!A7:G117,BB!C167,JU!F7:F117)</f>
        <v>0</v>
      </c>
      <c r="F173" s="67">
        <f ca="1">SUMIF(JU!A7:G117,BB!C167,JU!G7:G117)</f>
        <v>725000</v>
      </c>
      <c r="G173" s="67">
        <f ca="1">IF(G172+E173&gt;H172+F173,G172+E173-(H172+F173),0)</f>
        <v>0</v>
      </c>
      <c r="H173" s="67">
        <f ca="1">IF(H172+F173&gt;G172+E173,H172+F173-(G172+E173),0)</f>
        <v>725000</v>
      </c>
    </row>
    <row r="174" spans="1:8" ht="15" x14ac:dyDescent="0.2">
      <c r="A174" s="99"/>
      <c r="B174" s="66"/>
      <c r="C174" s="68"/>
      <c r="D174" s="68"/>
      <c r="E174" s="67"/>
      <c r="F174" s="67"/>
      <c r="G174" s="67"/>
      <c r="H174" s="67"/>
    </row>
    <row r="175" spans="1:8" ht="15" x14ac:dyDescent="0.2">
      <c r="A175" s="101"/>
      <c r="B175" s="101"/>
      <c r="C175" s="101"/>
      <c r="D175" s="101"/>
      <c r="E175" s="101"/>
      <c r="F175" s="101"/>
      <c r="G175" s="101"/>
      <c r="H175" s="101"/>
    </row>
    <row r="176" spans="1:8" ht="15" x14ac:dyDescent="0.2">
      <c r="A176" s="189" t="s">
        <v>152</v>
      </c>
      <c r="B176" s="189"/>
      <c r="C176" s="93">
        <v>21402</v>
      </c>
      <c r="D176" s="94"/>
      <c r="E176" s="94"/>
      <c r="F176" s="94"/>
      <c r="G176" s="94"/>
      <c r="H176" s="94"/>
    </row>
    <row r="177" spans="1:8" ht="15" x14ac:dyDescent="0.2">
      <c r="A177" s="93" t="s">
        <v>153</v>
      </c>
      <c r="B177" s="95"/>
      <c r="C177" s="189" t="str">
        <f>VLOOKUP(C176,'Master Akun'!A6:E70,2,)</f>
        <v>Utang PPh Pasal 4</v>
      </c>
      <c r="D177" s="189"/>
      <c r="E177" s="189"/>
      <c r="F177" s="189"/>
      <c r="G177" s="189"/>
      <c r="H177" s="189"/>
    </row>
    <row r="178" spans="1:8" ht="15" x14ac:dyDescent="0.2">
      <c r="A178" s="96"/>
      <c r="B178" s="95"/>
      <c r="C178" s="96"/>
      <c r="D178" s="96"/>
      <c r="E178" s="96"/>
      <c r="F178" s="96"/>
      <c r="G178" s="96"/>
      <c r="H178" s="96"/>
    </row>
    <row r="179" spans="1:8" ht="15" x14ac:dyDescent="0.15">
      <c r="A179" s="190" t="s">
        <v>142</v>
      </c>
      <c r="B179" s="191" t="s">
        <v>154</v>
      </c>
      <c r="C179" s="191" t="s">
        <v>144</v>
      </c>
      <c r="D179" s="191" t="s">
        <v>145</v>
      </c>
      <c r="E179" s="191" t="s">
        <v>2</v>
      </c>
      <c r="F179" s="191" t="s">
        <v>3</v>
      </c>
      <c r="G179" s="191" t="s">
        <v>155</v>
      </c>
      <c r="H179" s="191"/>
    </row>
    <row r="180" spans="1:8" ht="15" x14ac:dyDescent="0.2">
      <c r="A180" s="190"/>
      <c r="B180" s="191"/>
      <c r="C180" s="191"/>
      <c r="D180" s="191"/>
      <c r="E180" s="191"/>
      <c r="F180" s="191"/>
      <c r="G180" s="97" t="s">
        <v>2</v>
      </c>
      <c r="H180" s="97" t="s">
        <v>3</v>
      </c>
    </row>
    <row r="181" spans="1:8" ht="15" x14ac:dyDescent="0.2">
      <c r="A181" s="98"/>
      <c r="B181" s="66" t="s">
        <v>202</v>
      </c>
      <c r="C181" s="68"/>
      <c r="D181" s="68"/>
      <c r="E181" s="67"/>
      <c r="F181" s="67"/>
      <c r="G181" s="67">
        <f>VLOOKUP(BB!C176,'Master Akun'!A6:E70,4,)</f>
        <v>0</v>
      </c>
      <c r="H181" s="67">
        <f>VLOOKUP(BB!C176,'Master Akun'!A6:E70,5,)</f>
        <v>0</v>
      </c>
    </row>
    <row r="182" spans="1:8" ht="15" x14ac:dyDescent="0.2">
      <c r="A182" s="99"/>
      <c r="B182" s="66" t="s">
        <v>203</v>
      </c>
      <c r="C182" s="68"/>
      <c r="D182" s="68"/>
      <c r="E182" s="67">
        <f ca="1">SUMIF(JU!A7:G117,BB!C176,JU!F7:F117)</f>
        <v>0</v>
      </c>
      <c r="F182" s="67">
        <f ca="1">SUMIF(JU!A7:G117,BB!C176,JU!G7:G117)</f>
        <v>250000</v>
      </c>
      <c r="G182" s="67">
        <f ca="1">IF(G181+E182&gt;H181+F182,G181+E182-(H181+F182),0)</f>
        <v>0</v>
      </c>
      <c r="H182" s="67">
        <f ca="1">IF(H181+F182&gt;G181+E182,H181+F182-(G181+E182),0)</f>
        <v>250000</v>
      </c>
    </row>
    <row r="183" spans="1:8" ht="15" x14ac:dyDescent="0.2">
      <c r="A183" s="99"/>
      <c r="B183" s="66"/>
      <c r="C183" s="68"/>
      <c r="D183" s="68"/>
      <c r="E183" s="67"/>
      <c r="F183" s="67"/>
      <c r="G183" s="67"/>
      <c r="H183" s="67"/>
    </row>
    <row r="184" spans="1:8" ht="15" x14ac:dyDescent="0.2">
      <c r="A184" s="101"/>
      <c r="B184" s="101"/>
      <c r="C184" s="101"/>
      <c r="D184" s="101"/>
      <c r="E184" s="101"/>
      <c r="F184" s="101"/>
      <c r="G184" s="101"/>
      <c r="H184" s="101"/>
    </row>
    <row r="185" spans="1:8" ht="15" x14ac:dyDescent="0.2">
      <c r="A185" s="189" t="s">
        <v>152</v>
      </c>
      <c r="B185" s="189"/>
      <c r="C185" s="93">
        <v>21403</v>
      </c>
      <c r="D185" s="94"/>
      <c r="E185" s="94"/>
      <c r="F185" s="94"/>
      <c r="G185" s="94"/>
      <c r="H185" s="94"/>
    </row>
    <row r="186" spans="1:8" ht="15" x14ac:dyDescent="0.2">
      <c r="A186" s="93" t="s">
        <v>153</v>
      </c>
      <c r="B186" s="95"/>
      <c r="C186" s="189" t="str">
        <f>VLOOKUP(C185,'Master Akun'!A6:E70,2,)</f>
        <v>PPn Keluaran</v>
      </c>
      <c r="D186" s="189"/>
      <c r="E186" s="189"/>
      <c r="F186" s="189"/>
      <c r="G186" s="189"/>
      <c r="H186" s="189"/>
    </row>
    <row r="187" spans="1:8" ht="15" x14ac:dyDescent="0.2">
      <c r="A187" s="96"/>
      <c r="B187" s="95"/>
      <c r="C187" s="96"/>
      <c r="D187" s="96"/>
      <c r="E187" s="96"/>
      <c r="F187" s="96"/>
      <c r="G187" s="96"/>
      <c r="H187" s="96"/>
    </row>
    <row r="188" spans="1:8" ht="15" x14ac:dyDescent="0.15">
      <c r="A188" s="190" t="s">
        <v>142</v>
      </c>
      <c r="B188" s="191" t="s">
        <v>154</v>
      </c>
      <c r="C188" s="191" t="s">
        <v>144</v>
      </c>
      <c r="D188" s="191" t="s">
        <v>145</v>
      </c>
      <c r="E188" s="191" t="s">
        <v>2</v>
      </c>
      <c r="F188" s="191" t="s">
        <v>3</v>
      </c>
      <c r="G188" s="191" t="s">
        <v>155</v>
      </c>
      <c r="H188" s="191"/>
    </row>
    <row r="189" spans="1:8" ht="15" x14ac:dyDescent="0.2">
      <c r="A189" s="190"/>
      <c r="B189" s="191"/>
      <c r="C189" s="191"/>
      <c r="D189" s="191"/>
      <c r="E189" s="191"/>
      <c r="F189" s="191"/>
      <c r="G189" s="97" t="s">
        <v>2</v>
      </c>
      <c r="H189" s="97" t="s">
        <v>3</v>
      </c>
    </row>
    <row r="190" spans="1:8" ht="15" x14ac:dyDescent="0.2">
      <c r="A190" s="98"/>
      <c r="B190" s="66" t="s">
        <v>202</v>
      </c>
      <c r="C190" s="68"/>
      <c r="D190" s="68"/>
      <c r="E190" s="67"/>
      <c r="F190" s="67"/>
      <c r="G190" s="67">
        <f>VLOOKUP(BB!C185,'Master Akun'!A6:E70,4,)</f>
        <v>0</v>
      </c>
      <c r="H190" s="67">
        <f>VLOOKUP(BB!C185,'Master Akun'!A6:E70,5,)</f>
        <v>0</v>
      </c>
    </row>
    <row r="191" spans="1:8" ht="15" x14ac:dyDescent="0.2">
      <c r="A191" s="99"/>
      <c r="B191" s="66" t="s">
        <v>203</v>
      </c>
      <c r="C191" s="68"/>
      <c r="D191" s="68"/>
      <c r="E191" s="67">
        <f ca="1">SUMIF(JU!A7:G117,BB!C185,JU!F7:F117)</f>
        <v>212500</v>
      </c>
      <c r="F191" s="67">
        <f ca="1">SUMIF(JU!A7:G117,BB!C185,JU!G7:G117)</f>
        <v>14182250</v>
      </c>
      <c r="G191" s="67">
        <f ca="1">IF(G190+E191&gt;H190+F191,G190+E191-(H190+F191),0)</f>
        <v>0</v>
      </c>
      <c r="H191" s="67">
        <f ca="1">IF(H190+F191&gt;G190+E191,H190+F191-(G190+E191),0)</f>
        <v>13969750</v>
      </c>
    </row>
    <row r="192" spans="1:8" ht="15" x14ac:dyDescent="0.2">
      <c r="A192" s="99"/>
      <c r="B192" s="66"/>
      <c r="C192" s="68"/>
      <c r="D192" s="68"/>
      <c r="E192" s="67"/>
      <c r="F192" s="67"/>
      <c r="G192" s="67"/>
      <c r="H192" s="67"/>
    </row>
    <row r="193" spans="1:8" ht="15" x14ac:dyDescent="0.2">
      <c r="A193" s="101"/>
      <c r="B193" s="101"/>
      <c r="C193" s="101"/>
      <c r="D193" s="101"/>
      <c r="E193" s="101"/>
      <c r="F193" s="101"/>
      <c r="G193" s="101"/>
      <c r="H193" s="101"/>
    </row>
    <row r="194" spans="1:8" ht="15" x14ac:dyDescent="0.2">
      <c r="A194" s="189" t="s">
        <v>152</v>
      </c>
      <c r="B194" s="189"/>
      <c r="C194" s="93">
        <v>22001</v>
      </c>
      <c r="D194" s="94"/>
      <c r="E194" s="94"/>
      <c r="F194" s="94"/>
      <c r="G194" s="94"/>
      <c r="H194" s="94"/>
    </row>
    <row r="195" spans="1:8" ht="15" x14ac:dyDescent="0.2">
      <c r="A195" s="93" t="s">
        <v>153</v>
      </c>
      <c r="B195" s="95"/>
      <c r="C195" s="189" t="str">
        <f>VLOOKUP(C194,'Master Akun'!A6:E70,2,)</f>
        <v>Hutang Bank Mandiri</v>
      </c>
      <c r="D195" s="189"/>
      <c r="E195" s="189"/>
      <c r="F195" s="189"/>
      <c r="G195" s="189"/>
      <c r="H195" s="189"/>
    </row>
    <row r="196" spans="1:8" ht="15" x14ac:dyDescent="0.2">
      <c r="A196" s="96"/>
      <c r="B196" s="95"/>
      <c r="C196" s="96"/>
      <c r="D196" s="96"/>
      <c r="E196" s="96"/>
      <c r="F196" s="96"/>
      <c r="G196" s="96"/>
      <c r="H196" s="96"/>
    </row>
    <row r="197" spans="1:8" ht="15" x14ac:dyDescent="0.15">
      <c r="A197" s="190" t="s">
        <v>142</v>
      </c>
      <c r="B197" s="191" t="s">
        <v>154</v>
      </c>
      <c r="C197" s="191" t="s">
        <v>144</v>
      </c>
      <c r="D197" s="191" t="s">
        <v>145</v>
      </c>
      <c r="E197" s="191" t="s">
        <v>2</v>
      </c>
      <c r="F197" s="191" t="s">
        <v>3</v>
      </c>
      <c r="G197" s="191" t="s">
        <v>155</v>
      </c>
      <c r="H197" s="191"/>
    </row>
    <row r="198" spans="1:8" ht="15" x14ac:dyDescent="0.2">
      <c r="A198" s="190"/>
      <c r="B198" s="191"/>
      <c r="C198" s="191"/>
      <c r="D198" s="191"/>
      <c r="E198" s="191"/>
      <c r="F198" s="191"/>
      <c r="G198" s="97" t="s">
        <v>2</v>
      </c>
      <c r="H198" s="97" t="s">
        <v>3</v>
      </c>
    </row>
    <row r="199" spans="1:8" ht="15" x14ac:dyDescent="0.2">
      <c r="A199" s="98"/>
      <c r="B199" s="66" t="s">
        <v>202</v>
      </c>
      <c r="C199" s="68"/>
      <c r="D199" s="68"/>
      <c r="E199" s="67"/>
      <c r="F199" s="67"/>
      <c r="G199" s="67">
        <f>VLOOKUP(BB!C194,'Master Akun'!A6:E70,4,)</f>
        <v>0</v>
      </c>
      <c r="H199" s="67">
        <f>VLOOKUP(BB!C194,'Master Akun'!A6:E70,5,)</f>
        <v>75000000</v>
      </c>
    </row>
    <row r="200" spans="1:8" ht="15" x14ac:dyDescent="0.2">
      <c r="A200" s="99"/>
      <c r="B200" s="66" t="s">
        <v>203</v>
      </c>
      <c r="C200" s="68"/>
      <c r="D200" s="68"/>
      <c r="E200" s="67">
        <f ca="1">SUMIF(JU!A7:G117,BB!C194,JU!F7:F117)</f>
        <v>0</v>
      </c>
      <c r="F200" s="67">
        <f ca="1">SUMIF(JU!A7:G117,BB!C194,JU!G7:G117)</f>
        <v>0</v>
      </c>
      <c r="G200" s="67">
        <f ca="1">IF(G199+E200&gt;H199+F200,G199+E200-(H199+F200),0)</f>
        <v>0</v>
      </c>
      <c r="H200" s="67">
        <f ca="1">IF(H199+F200&gt;G199+E200,H199+F200-(G199-E200),0)</f>
        <v>75000000</v>
      </c>
    </row>
    <row r="201" spans="1:8" ht="15" x14ac:dyDescent="0.2">
      <c r="A201" s="99"/>
      <c r="B201" s="66"/>
      <c r="C201" s="68"/>
      <c r="D201" s="68"/>
      <c r="E201" s="67"/>
      <c r="F201" s="67"/>
      <c r="G201" s="67"/>
      <c r="H201" s="67"/>
    </row>
    <row r="202" spans="1:8" ht="15" x14ac:dyDescent="0.2">
      <c r="A202" s="101"/>
      <c r="B202" s="101"/>
      <c r="C202" s="101"/>
      <c r="D202" s="101"/>
      <c r="E202" s="101"/>
      <c r="F202" s="101"/>
      <c r="G202" s="101"/>
      <c r="H202" s="101"/>
    </row>
    <row r="203" spans="1:8" ht="15" x14ac:dyDescent="0.2">
      <c r="A203" s="189" t="s">
        <v>152</v>
      </c>
      <c r="B203" s="189"/>
      <c r="C203" s="93">
        <v>31000</v>
      </c>
      <c r="D203" s="94"/>
      <c r="E203" s="94"/>
      <c r="F203" s="94"/>
      <c r="G203" s="94"/>
      <c r="H203" s="94"/>
    </row>
    <row r="204" spans="1:8" ht="15" x14ac:dyDescent="0.2">
      <c r="A204" s="93" t="s">
        <v>153</v>
      </c>
      <c r="B204" s="95"/>
      <c r="C204" s="189" t="str">
        <f>VLOOKUP(C203,'Master Akun'!A6:E70,2,)</f>
        <v>Modal Saham</v>
      </c>
      <c r="D204" s="189"/>
      <c r="E204" s="189"/>
      <c r="F204" s="189"/>
      <c r="G204" s="189"/>
      <c r="H204" s="189"/>
    </row>
    <row r="205" spans="1:8" ht="15" x14ac:dyDescent="0.2">
      <c r="A205" s="96"/>
      <c r="B205" s="95"/>
      <c r="C205" s="96"/>
      <c r="D205" s="96"/>
      <c r="E205" s="96"/>
      <c r="F205" s="96"/>
      <c r="G205" s="96"/>
      <c r="H205" s="96"/>
    </row>
    <row r="206" spans="1:8" ht="15" x14ac:dyDescent="0.15">
      <c r="A206" s="190" t="s">
        <v>142</v>
      </c>
      <c r="B206" s="191" t="s">
        <v>154</v>
      </c>
      <c r="C206" s="191" t="s">
        <v>144</v>
      </c>
      <c r="D206" s="191" t="s">
        <v>145</v>
      </c>
      <c r="E206" s="191" t="s">
        <v>2</v>
      </c>
      <c r="F206" s="191" t="s">
        <v>3</v>
      </c>
      <c r="G206" s="191" t="s">
        <v>155</v>
      </c>
      <c r="H206" s="191"/>
    </row>
    <row r="207" spans="1:8" ht="15" x14ac:dyDescent="0.2">
      <c r="A207" s="190"/>
      <c r="B207" s="191"/>
      <c r="C207" s="191"/>
      <c r="D207" s="191"/>
      <c r="E207" s="191"/>
      <c r="F207" s="191"/>
      <c r="G207" s="97" t="s">
        <v>2</v>
      </c>
      <c r="H207" s="97" t="s">
        <v>3</v>
      </c>
    </row>
    <row r="208" spans="1:8" ht="15" x14ac:dyDescent="0.2">
      <c r="A208" s="98"/>
      <c r="B208" s="66" t="s">
        <v>202</v>
      </c>
      <c r="C208" s="68"/>
      <c r="D208" s="68"/>
      <c r="E208" s="67"/>
      <c r="F208" s="67"/>
      <c r="G208" s="67">
        <f>VLOOKUP(BB!C203,'Master Akun'!A6:E70,4,)</f>
        <v>0</v>
      </c>
      <c r="H208" s="67">
        <f>VLOOKUP(BB!C203,'Master Akun'!A6:E70,5,)</f>
        <v>150000000</v>
      </c>
    </row>
    <row r="209" spans="1:8" ht="15" x14ac:dyDescent="0.2">
      <c r="A209" s="99"/>
      <c r="B209" s="66" t="s">
        <v>203</v>
      </c>
      <c r="C209" s="68"/>
      <c r="D209" s="68"/>
      <c r="E209" s="67">
        <f ca="1">SUMIF(JU!A7:G117,BB!C203,JU!F7:F117)</f>
        <v>0</v>
      </c>
      <c r="F209" s="67">
        <f ca="1">SUMIF(JU!A7:G117,BB!C203,JU!G7:G117)</f>
        <v>0</v>
      </c>
      <c r="G209" s="67">
        <f ca="1">IF(G208+E209&gt;H208+F209,G208+E209-(H208+F209),0)</f>
        <v>0</v>
      </c>
      <c r="H209" s="67">
        <f ca="1">IF(H208+F209&gt;G208+E209,H208+F209-(G208+E209),0)</f>
        <v>150000000</v>
      </c>
    </row>
    <row r="210" spans="1:8" ht="15" x14ac:dyDescent="0.2">
      <c r="A210" s="99"/>
      <c r="B210" s="66"/>
      <c r="C210" s="68"/>
      <c r="D210" s="68"/>
      <c r="E210" s="67"/>
      <c r="F210" s="67"/>
      <c r="G210" s="67"/>
      <c r="H210" s="67"/>
    </row>
    <row r="211" spans="1:8" ht="15" x14ac:dyDescent="0.2">
      <c r="A211" s="101"/>
      <c r="B211" s="101"/>
      <c r="C211" s="101"/>
      <c r="D211" s="101"/>
      <c r="E211" s="101"/>
      <c r="F211" s="101"/>
      <c r="G211" s="101"/>
      <c r="H211" s="101"/>
    </row>
    <row r="212" spans="1:8" ht="15" x14ac:dyDescent="0.2">
      <c r="A212" s="189" t="s">
        <v>152</v>
      </c>
      <c r="B212" s="189"/>
      <c r="C212" s="93">
        <v>32000</v>
      </c>
      <c r="D212" s="94"/>
      <c r="E212" s="94"/>
      <c r="F212" s="94"/>
      <c r="G212" s="94"/>
      <c r="H212" s="94"/>
    </row>
    <row r="213" spans="1:8" ht="15" x14ac:dyDescent="0.2">
      <c r="A213" s="93" t="s">
        <v>153</v>
      </c>
      <c r="B213" s="95"/>
      <c r="C213" s="189" t="str">
        <f>VLOOKUP(C212,'Master Akun'!A6:E70,2,)</f>
        <v>Laba Ditahan Periode Lalu</v>
      </c>
      <c r="D213" s="189"/>
      <c r="E213" s="189"/>
      <c r="F213" s="189"/>
      <c r="G213" s="189"/>
      <c r="H213" s="189"/>
    </row>
    <row r="214" spans="1:8" ht="15" x14ac:dyDescent="0.2">
      <c r="A214" s="96"/>
      <c r="B214" s="95"/>
      <c r="C214" s="96"/>
      <c r="D214" s="96"/>
      <c r="E214" s="96"/>
      <c r="F214" s="96"/>
      <c r="G214" s="96"/>
      <c r="H214" s="96"/>
    </row>
    <row r="215" spans="1:8" ht="15" x14ac:dyDescent="0.15">
      <c r="A215" s="190" t="s">
        <v>142</v>
      </c>
      <c r="B215" s="191" t="s">
        <v>154</v>
      </c>
      <c r="C215" s="191" t="s">
        <v>144</v>
      </c>
      <c r="D215" s="191" t="s">
        <v>145</v>
      </c>
      <c r="E215" s="191" t="s">
        <v>2</v>
      </c>
      <c r="F215" s="191" t="s">
        <v>3</v>
      </c>
      <c r="G215" s="191" t="s">
        <v>155</v>
      </c>
      <c r="H215" s="191"/>
    </row>
    <row r="216" spans="1:8" ht="15" x14ac:dyDescent="0.2">
      <c r="A216" s="190"/>
      <c r="B216" s="191"/>
      <c r="C216" s="191"/>
      <c r="D216" s="191"/>
      <c r="E216" s="191"/>
      <c r="F216" s="191"/>
      <c r="G216" s="97" t="s">
        <v>2</v>
      </c>
      <c r="H216" s="97" t="s">
        <v>3</v>
      </c>
    </row>
    <row r="217" spans="1:8" ht="15" x14ac:dyDescent="0.2">
      <c r="A217" s="98"/>
      <c r="B217" s="66" t="s">
        <v>202</v>
      </c>
      <c r="C217" s="68"/>
      <c r="D217" s="68"/>
      <c r="E217" s="67"/>
      <c r="F217" s="67"/>
      <c r="G217" s="67">
        <f>VLOOKUP(BB!C212,'Master Akun'!A6:E70,4,)</f>
        <v>0</v>
      </c>
      <c r="H217" s="67">
        <f>VLOOKUP(BB!C212,'Master Akun'!A6:E70,5,)</f>
        <v>24630000</v>
      </c>
    </row>
    <row r="218" spans="1:8" ht="15" x14ac:dyDescent="0.2">
      <c r="A218" s="99"/>
      <c r="B218" s="66" t="s">
        <v>203</v>
      </c>
      <c r="C218" s="68"/>
      <c r="D218" s="68"/>
      <c r="E218" s="67">
        <f ca="1">SUMIF(JU!A7:G117,BB!C212,JU!F7:F117)</f>
        <v>0</v>
      </c>
      <c r="F218" s="67">
        <f ca="1">SUMIF(JU!A7:G117,BB!C212,JU!G7:G117)</f>
        <v>0</v>
      </c>
      <c r="G218" s="67">
        <f ca="1">IF(G217+E218&gt;H217+F218,G217+E218-(H217+F218),0)</f>
        <v>0</v>
      </c>
      <c r="H218" s="67">
        <f ca="1">IF(H217+F218&gt;G217+E218,H217+F218-(G217+E218),0)</f>
        <v>24630000</v>
      </c>
    </row>
    <row r="219" spans="1:8" ht="15" x14ac:dyDescent="0.2">
      <c r="A219" s="99"/>
      <c r="B219" s="66"/>
      <c r="C219" s="68"/>
      <c r="D219" s="68"/>
      <c r="E219" s="67"/>
      <c r="F219" s="67"/>
      <c r="G219" s="67"/>
      <c r="H219" s="67"/>
    </row>
    <row r="220" spans="1:8" ht="15" x14ac:dyDescent="0.2">
      <c r="A220" s="101"/>
      <c r="B220" s="101"/>
      <c r="C220" s="101"/>
      <c r="D220" s="101"/>
      <c r="E220" s="101"/>
      <c r="F220" s="101"/>
      <c r="G220" s="101"/>
      <c r="H220" s="101"/>
    </row>
    <row r="221" spans="1:8" ht="15" x14ac:dyDescent="0.2">
      <c r="A221" s="189" t="s">
        <v>152</v>
      </c>
      <c r="B221" s="189"/>
      <c r="C221" s="93">
        <v>33000</v>
      </c>
      <c r="D221" s="94"/>
      <c r="E221" s="94"/>
      <c r="F221" s="94"/>
      <c r="G221" s="94"/>
      <c r="H221" s="94"/>
    </row>
    <row r="222" spans="1:8" ht="15" x14ac:dyDescent="0.2">
      <c r="A222" s="93" t="s">
        <v>153</v>
      </c>
      <c r="B222" s="95"/>
      <c r="C222" s="189" t="str">
        <f>VLOOKUP(C221,'Master Akun'!A6:E70,2,)</f>
        <v>Laba Ditahan Periode Berjalan</v>
      </c>
      <c r="D222" s="189"/>
      <c r="E222" s="189"/>
      <c r="F222" s="189"/>
      <c r="G222" s="189"/>
      <c r="H222" s="189"/>
    </row>
    <row r="223" spans="1:8" ht="15" x14ac:dyDescent="0.2">
      <c r="A223" s="96"/>
      <c r="B223" s="95"/>
      <c r="C223" s="96"/>
      <c r="D223" s="96"/>
      <c r="E223" s="96"/>
      <c r="F223" s="96"/>
      <c r="G223" s="96"/>
      <c r="H223" s="96"/>
    </row>
    <row r="224" spans="1:8" ht="15" x14ac:dyDescent="0.15">
      <c r="A224" s="190" t="s">
        <v>142</v>
      </c>
      <c r="B224" s="191" t="s">
        <v>154</v>
      </c>
      <c r="C224" s="191" t="s">
        <v>144</v>
      </c>
      <c r="D224" s="191" t="s">
        <v>145</v>
      </c>
      <c r="E224" s="191" t="s">
        <v>2</v>
      </c>
      <c r="F224" s="191" t="s">
        <v>3</v>
      </c>
      <c r="G224" s="191" t="s">
        <v>155</v>
      </c>
      <c r="H224" s="191"/>
    </row>
    <row r="225" spans="1:8" ht="15" x14ac:dyDescent="0.2">
      <c r="A225" s="190"/>
      <c r="B225" s="191"/>
      <c r="C225" s="191"/>
      <c r="D225" s="191"/>
      <c r="E225" s="191"/>
      <c r="F225" s="191"/>
      <c r="G225" s="97" t="s">
        <v>2</v>
      </c>
      <c r="H225" s="97" t="s">
        <v>3</v>
      </c>
    </row>
    <row r="226" spans="1:8" ht="15" x14ac:dyDescent="0.2">
      <c r="A226" s="98"/>
      <c r="B226" s="66" t="s">
        <v>202</v>
      </c>
      <c r="C226" s="68"/>
      <c r="D226" s="68"/>
      <c r="E226" s="67"/>
      <c r="F226" s="67"/>
      <c r="G226" s="67">
        <f>VLOOKUP(BB!C221,'Master Akun'!A6:E70,4,)</f>
        <v>0</v>
      </c>
      <c r="H226" s="67">
        <f>VLOOKUP(BB!C221,'Master Akun'!A6:E70,5,)</f>
        <v>0</v>
      </c>
    </row>
    <row r="227" spans="1:8" ht="15" x14ac:dyDescent="0.2">
      <c r="A227" s="99"/>
      <c r="B227" s="66" t="s">
        <v>203</v>
      </c>
      <c r="C227" s="68"/>
      <c r="D227" s="68"/>
      <c r="E227" s="67">
        <f ca="1">SUMIF(JU!A7:G117,BB!C221,JU!F7:F117)</f>
        <v>0</v>
      </c>
      <c r="F227" s="67">
        <f ca="1">SUMIF(JU!A7:G117,BB!C221,JU!G7:G117)</f>
        <v>0</v>
      </c>
      <c r="G227" s="67">
        <f ca="1">IF(G226+E227&gt;H226+F227,G226+E227-(H226+F227),0)</f>
        <v>0</v>
      </c>
      <c r="H227" s="67">
        <f ca="1">IF(H226+F227&gt;G226+E227,H226+F227-(G226+E227),0)</f>
        <v>0</v>
      </c>
    </row>
    <row r="228" spans="1:8" ht="15" x14ac:dyDescent="0.2">
      <c r="A228" s="99"/>
      <c r="B228" s="66"/>
      <c r="C228" s="68"/>
      <c r="D228" s="68"/>
      <c r="E228" s="67"/>
      <c r="F228" s="67"/>
      <c r="G228" s="67"/>
      <c r="H228" s="67"/>
    </row>
    <row r="229" spans="1:8" ht="15" x14ac:dyDescent="0.2">
      <c r="A229" s="101"/>
      <c r="B229" s="101"/>
      <c r="C229" s="101"/>
      <c r="D229" s="101"/>
      <c r="E229" s="101"/>
      <c r="F229" s="101"/>
      <c r="G229" s="101"/>
      <c r="H229" s="101"/>
    </row>
    <row r="230" spans="1:8" ht="15" x14ac:dyDescent="0.2">
      <c r="A230" s="189" t="s">
        <v>152</v>
      </c>
      <c r="B230" s="189"/>
      <c r="C230" s="93">
        <v>41000</v>
      </c>
      <c r="D230" s="94"/>
      <c r="E230" s="94"/>
      <c r="F230" s="94"/>
      <c r="G230" s="94"/>
      <c r="H230" s="94"/>
    </row>
    <row r="231" spans="1:8" ht="15" x14ac:dyDescent="0.2">
      <c r="A231" s="93" t="s">
        <v>153</v>
      </c>
      <c r="B231" s="95"/>
      <c r="C231" s="189" t="str">
        <f>VLOOKUP(C230,'Master Akun'!A6:E70,2,)</f>
        <v>Penjualan</v>
      </c>
      <c r="D231" s="189"/>
      <c r="E231" s="189"/>
      <c r="F231" s="189"/>
      <c r="G231" s="189"/>
      <c r="H231" s="189"/>
    </row>
    <row r="232" spans="1:8" ht="15" x14ac:dyDescent="0.2">
      <c r="A232" s="96"/>
      <c r="B232" s="95"/>
      <c r="C232" s="96"/>
      <c r="D232" s="96"/>
      <c r="E232" s="96"/>
      <c r="F232" s="96"/>
      <c r="G232" s="96"/>
      <c r="H232" s="96"/>
    </row>
    <row r="233" spans="1:8" ht="15" x14ac:dyDescent="0.15">
      <c r="A233" s="190" t="s">
        <v>142</v>
      </c>
      <c r="B233" s="191" t="s">
        <v>154</v>
      </c>
      <c r="C233" s="191" t="s">
        <v>144</v>
      </c>
      <c r="D233" s="191" t="s">
        <v>145</v>
      </c>
      <c r="E233" s="191" t="s">
        <v>2</v>
      </c>
      <c r="F233" s="191" t="s">
        <v>3</v>
      </c>
      <c r="G233" s="191" t="s">
        <v>155</v>
      </c>
      <c r="H233" s="191"/>
    </row>
    <row r="234" spans="1:8" ht="15" x14ac:dyDescent="0.2">
      <c r="A234" s="190"/>
      <c r="B234" s="191"/>
      <c r="C234" s="191"/>
      <c r="D234" s="191"/>
      <c r="E234" s="191"/>
      <c r="F234" s="191"/>
      <c r="G234" s="97" t="s">
        <v>2</v>
      </c>
      <c r="H234" s="97" t="s">
        <v>3</v>
      </c>
    </row>
    <row r="235" spans="1:8" ht="15" x14ac:dyDescent="0.2">
      <c r="A235" s="98"/>
      <c r="B235" s="66" t="s">
        <v>202</v>
      </c>
      <c r="C235" s="68"/>
      <c r="D235" s="68"/>
      <c r="E235" s="67"/>
      <c r="F235" s="67"/>
      <c r="G235" s="67">
        <f>VLOOKUP(BB!C230,'Master Akun'!A6:E70,4,)</f>
        <v>0</v>
      </c>
      <c r="H235" s="67">
        <f>VLOOKUP(BB!C230,'Master Akun'!A6:E70,5,)</f>
        <v>0</v>
      </c>
    </row>
    <row r="236" spans="1:8" ht="15" x14ac:dyDescent="0.2">
      <c r="A236" s="99"/>
      <c r="B236" s="66" t="s">
        <v>203</v>
      </c>
      <c r="C236" s="68"/>
      <c r="D236" s="68"/>
      <c r="E236" s="67">
        <f ca="1">SUMIF(JU!A7:G117,BB!C230,JU!F7:F117)</f>
        <v>0</v>
      </c>
      <c r="F236" s="67">
        <f ca="1">SUMIF(JU!A7:G117,BB!C230,JU!G7:G117)</f>
        <v>142385000</v>
      </c>
      <c r="G236" s="67">
        <f ca="1">IF(G235+E236&gt;H235+F236,G235+E236-(H235+F236),0)</f>
        <v>0</v>
      </c>
      <c r="H236" s="67">
        <f ca="1">IF(H235+F236&gt;G235+E236,H235+F236-(G235+E236),0)</f>
        <v>142385000</v>
      </c>
    </row>
    <row r="237" spans="1:8" ht="15" x14ac:dyDescent="0.2">
      <c r="A237" s="99"/>
      <c r="B237" s="66"/>
      <c r="C237" s="68"/>
      <c r="D237" s="68"/>
      <c r="E237" s="67"/>
      <c r="F237" s="67"/>
      <c r="G237" s="67"/>
      <c r="H237" s="67"/>
    </row>
    <row r="238" spans="1:8" ht="15" x14ac:dyDescent="0.2">
      <c r="A238" s="101"/>
      <c r="B238" s="101"/>
      <c r="C238" s="101"/>
      <c r="D238" s="101"/>
      <c r="E238" s="101"/>
      <c r="F238" s="101"/>
      <c r="G238" s="101"/>
      <c r="H238" s="101"/>
    </row>
    <row r="239" spans="1:8" ht="15" x14ac:dyDescent="0.2">
      <c r="A239" s="189" t="s">
        <v>152</v>
      </c>
      <c r="B239" s="189"/>
      <c r="C239" s="93">
        <v>42000</v>
      </c>
      <c r="D239" s="94"/>
      <c r="E239" s="94"/>
      <c r="F239" s="94"/>
      <c r="G239" s="94"/>
      <c r="H239" s="94"/>
    </row>
    <row r="240" spans="1:8" ht="15" x14ac:dyDescent="0.2">
      <c r="A240" s="93" t="s">
        <v>153</v>
      </c>
      <c r="B240" s="95"/>
      <c r="C240" s="189" t="str">
        <f>VLOOKUP(C239,'Master Akun'!A6:E70,2,)</f>
        <v>Retur Penjualan</v>
      </c>
      <c r="D240" s="189"/>
      <c r="E240" s="189"/>
      <c r="F240" s="189"/>
      <c r="G240" s="189"/>
      <c r="H240" s="189"/>
    </row>
    <row r="241" spans="1:8" ht="15" x14ac:dyDescent="0.2">
      <c r="A241" s="96"/>
      <c r="B241" s="95"/>
      <c r="C241" s="96"/>
      <c r="D241" s="96"/>
      <c r="E241" s="96"/>
      <c r="F241" s="96"/>
      <c r="G241" s="96"/>
      <c r="H241" s="96"/>
    </row>
    <row r="242" spans="1:8" ht="15" x14ac:dyDescent="0.15">
      <c r="A242" s="190" t="s">
        <v>142</v>
      </c>
      <c r="B242" s="191" t="s">
        <v>154</v>
      </c>
      <c r="C242" s="191" t="s">
        <v>144</v>
      </c>
      <c r="D242" s="191" t="s">
        <v>145</v>
      </c>
      <c r="E242" s="191" t="s">
        <v>2</v>
      </c>
      <c r="F242" s="191" t="s">
        <v>3</v>
      </c>
      <c r="G242" s="191" t="s">
        <v>155</v>
      </c>
      <c r="H242" s="191"/>
    </row>
    <row r="243" spans="1:8" ht="15" x14ac:dyDescent="0.2">
      <c r="A243" s="190"/>
      <c r="B243" s="191"/>
      <c r="C243" s="191"/>
      <c r="D243" s="191"/>
      <c r="E243" s="191"/>
      <c r="F243" s="191"/>
      <c r="G243" s="97" t="s">
        <v>2</v>
      </c>
      <c r="H243" s="97" t="s">
        <v>3</v>
      </c>
    </row>
    <row r="244" spans="1:8" ht="15" x14ac:dyDescent="0.2">
      <c r="A244" s="98"/>
      <c r="B244" s="66" t="s">
        <v>202</v>
      </c>
      <c r="C244" s="68"/>
      <c r="D244" s="68"/>
      <c r="E244" s="67"/>
      <c r="F244" s="67"/>
      <c r="G244" s="67">
        <f>VLOOKUP(BB!C239,'Master Akun'!A6:E70,4,)</f>
        <v>0</v>
      </c>
      <c r="H244" s="67">
        <f>VLOOKUP(BB!C239,'Master Akun'!A6:E70,5,)</f>
        <v>0</v>
      </c>
    </row>
    <row r="245" spans="1:8" ht="15" x14ac:dyDescent="0.2">
      <c r="A245" s="99"/>
      <c r="B245" s="66" t="s">
        <v>203</v>
      </c>
      <c r="C245" s="68"/>
      <c r="D245" s="68"/>
      <c r="E245" s="67">
        <f ca="1">SUMIF(JU!A7:G117,BB!C239,JU!F7:F117)</f>
        <v>2125000</v>
      </c>
      <c r="F245" s="67">
        <f ca="1">SUMIF(JU!A7:G117,BB!C239,JU!G7:G117)</f>
        <v>0</v>
      </c>
      <c r="G245" s="67">
        <f ca="1">IF(G244+E245&gt;H244+F245,G244+E245-(H244+F245),0)</f>
        <v>2125000</v>
      </c>
      <c r="H245" s="67">
        <f ca="1">IF(H244+F245&gt;G244+E245,H244+F245-(G244+E245),0)</f>
        <v>0</v>
      </c>
    </row>
    <row r="246" spans="1:8" ht="15" x14ac:dyDescent="0.2">
      <c r="A246" s="99"/>
      <c r="B246" s="66"/>
      <c r="C246" s="68"/>
      <c r="D246" s="68"/>
      <c r="E246" s="67"/>
      <c r="F246" s="67"/>
      <c r="G246" s="67"/>
      <c r="H246" s="67"/>
    </row>
    <row r="247" spans="1:8" ht="15" x14ac:dyDescent="0.2">
      <c r="A247" s="101"/>
      <c r="B247" s="101"/>
      <c r="C247" s="101"/>
      <c r="D247" s="101"/>
      <c r="E247" s="101"/>
      <c r="F247" s="101"/>
      <c r="G247" s="101"/>
      <c r="H247" s="101"/>
    </row>
    <row r="248" spans="1:8" ht="15" x14ac:dyDescent="0.2">
      <c r="A248" s="189" t="s">
        <v>152</v>
      </c>
      <c r="B248" s="189"/>
      <c r="C248" s="93">
        <v>43000</v>
      </c>
      <c r="D248" s="94"/>
      <c r="E248" s="94"/>
      <c r="F248" s="94"/>
      <c r="G248" s="94"/>
      <c r="H248" s="94"/>
    </row>
    <row r="249" spans="1:8" ht="15" x14ac:dyDescent="0.2">
      <c r="A249" s="93" t="s">
        <v>153</v>
      </c>
      <c r="B249" s="95"/>
      <c r="C249" s="189" t="str">
        <f>VLOOKUP(C248,'Master Akun'!A6:E70,2,)</f>
        <v>Potongan Penjualan</v>
      </c>
      <c r="D249" s="189"/>
      <c r="E249" s="189"/>
      <c r="F249" s="189"/>
      <c r="G249" s="189"/>
      <c r="H249" s="189"/>
    </row>
    <row r="250" spans="1:8" ht="15" x14ac:dyDescent="0.2">
      <c r="A250" s="96"/>
      <c r="B250" s="95"/>
      <c r="C250" s="96"/>
      <c r="D250" s="96"/>
      <c r="E250" s="96"/>
      <c r="F250" s="96"/>
      <c r="G250" s="96"/>
      <c r="H250" s="96"/>
    </row>
    <row r="251" spans="1:8" ht="15" x14ac:dyDescent="0.15">
      <c r="A251" s="190" t="s">
        <v>142</v>
      </c>
      <c r="B251" s="191" t="s">
        <v>154</v>
      </c>
      <c r="C251" s="191" t="s">
        <v>144</v>
      </c>
      <c r="D251" s="191" t="s">
        <v>145</v>
      </c>
      <c r="E251" s="191" t="s">
        <v>2</v>
      </c>
      <c r="F251" s="191" t="s">
        <v>3</v>
      </c>
      <c r="G251" s="191" t="s">
        <v>155</v>
      </c>
      <c r="H251" s="191"/>
    </row>
    <row r="252" spans="1:8" ht="15" x14ac:dyDescent="0.2">
      <c r="A252" s="190"/>
      <c r="B252" s="191"/>
      <c r="C252" s="191"/>
      <c r="D252" s="191"/>
      <c r="E252" s="191"/>
      <c r="F252" s="191"/>
      <c r="G252" s="97" t="s">
        <v>2</v>
      </c>
      <c r="H252" s="97" t="s">
        <v>3</v>
      </c>
    </row>
    <row r="253" spans="1:8" ht="15" x14ac:dyDescent="0.2">
      <c r="A253" s="98"/>
      <c r="B253" s="66" t="s">
        <v>202</v>
      </c>
      <c r="C253" s="68"/>
      <c r="D253" s="68"/>
      <c r="E253" s="67"/>
      <c r="F253" s="67"/>
      <c r="G253" s="67">
        <f>VLOOKUP(BB!C248,'Master Akun'!A6:E70,4,)</f>
        <v>0</v>
      </c>
      <c r="H253" s="67">
        <f>VLOOKUP(BB!C248,'Master Akun'!A6:E70,5,)</f>
        <v>0</v>
      </c>
    </row>
    <row r="254" spans="1:8" ht="15" x14ac:dyDescent="0.2">
      <c r="A254" s="99"/>
      <c r="B254" s="66" t="s">
        <v>203</v>
      </c>
      <c r="C254" s="68"/>
      <c r="D254" s="68"/>
      <c r="E254" s="67">
        <f ca="1">SUMIF(JU!A7:G117,BB!C248,JU!F7:F117)</f>
        <v>3022500</v>
      </c>
      <c r="F254" s="67">
        <f ca="1">SUMIF(JU!A7:G117,BB!C248,JU!G7:G117)</f>
        <v>0</v>
      </c>
      <c r="G254" s="67">
        <f ca="1">IF(G253+E254&gt;H253+F254,G253+E254-(H253+F254),0)</f>
        <v>3022500</v>
      </c>
      <c r="H254" s="67">
        <f ca="1">IF(H253+F254&gt;G253+E254,H253+F254-(G253+E254),0)</f>
        <v>0</v>
      </c>
    </row>
    <row r="255" spans="1:8" ht="15" x14ac:dyDescent="0.2">
      <c r="A255" s="99"/>
      <c r="B255" s="66"/>
      <c r="C255" s="68"/>
      <c r="D255" s="68"/>
      <c r="E255" s="67"/>
      <c r="F255" s="67"/>
      <c r="G255" s="67"/>
      <c r="H255" s="67"/>
    </row>
    <row r="256" spans="1:8" ht="15" x14ac:dyDescent="0.2">
      <c r="A256" s="101"/>
      <c r="B256" s="101"/>
      <c r="C256" s="101"/>
      <c r="D256" s="101"/>
      <c r="E256" s="101"/>
      <c r="F256" s="101"/>
      <c r="G256" s="101"/>
      <c r="H256" s="101"/>
    </row>
    <row r="257" spans="1:8" ht="15" x14ac:dyDescent="0.2">
      <c r="A257" s="189" t="s">
        <v>152</v>
      </c>
      <c r="B257" s="189"/>
      <c r="C257" s="93">
        <v>51000</v>
      </c>
      <c r="D257" s="94"/>
      <c r="E257" s="94"/>
      <c r="F257" s="94"/>
      <c r="G257" s="94"/>
      <c r="H257" s="94"/>
    </row>
    <row r="258" spans="1:8" ht="15" x14ac:dyDescent="0.2">
      <c r="A258" s="93" t="s">
        <v>153</v>
      </c>
      <c r="B258" s="95"/>
      <c r="C258" s="189" t="str">
        <f>VLOOKUP(C257,'Master Akun'!A6:E70,2,)</f>
        <v>Harga Pokok Penjualan</v>
      </c>
      <c r="D258" s="189"/>
      <c r="E258" s="189"/>
      <c r="F258" s="189"/>
      <c r="G258" s="189"/>
      <c r="H258" s="189"/>
    </row>
    <row r="259" spans="1:8" ht="15" x14ac:dyDescent="0.2">
      <c r="A259" s="96"/>
      <c r="B259" s="95"/>
      <c r="C259" s="96"/>
      <c r="D259" s="96"/>
      <c r="E259" s="96"/>
      <c r="F259" s="96"/>
      <c r="G259" s="96"/>
      <c r="H259" s="96"/>
    </row>
    <row r="260" spans="1:8" ht="15" x14ac:dyDescent="0.15">
      <c r="A260" s="190" t="s">
        <v>142</v>
      </c>
      <c r="B260" s="191" t="s">
        <v>154</v>
      </c>
      <c r="C260" s="191" t="s">
        <v>144</v>
      </c>
      <c r="D260" s="191" t="s">
        <v>145</v>
      </c>
      <c r="E260" s="191" t="s">
        <v>2</v>
      </c>
      <c r="F260" s="191" t="s">
        <v>3</v>
      </c>
      <c r="G260" s="191" t="s">
        <v>155</v>
      </c>
      <c r="H260" s="191"/>
    </row>
    <row r="261" spans="1:8" ht="15" x14ac:dyDescent="0.2">
      <c r="A261" s="190"/>
      <c r="B261" s="191"/>
      <c r="C261" s="191"/>
      <c r="D261" s="191"/>
      <c r="E261" s="191"/>
      <c r="F261" s="191"/>
      <c r="G261" s="97" t="s">
        <v>2</v>
      </c>
      <c r="H261" s="97" t="s">
        <v>3</v>
      </c>
    </row>
    <row r="262" spans="1:8" ht="15" x14ac:dyDescent="0.2">
      <c r="A262" s="98"/>
      <c r="B262" s="66" t="s">
        <v>202</v>
      </c>
      <c r="C262" s="68"/>
      <c r="D262" s="68"/>
      <c r="E262" s="67"/>
      <c r="F262" s="67"/>
      <c r="G262" s="67">
        <f>VLOOKUP(BB!C257,'Master Akun'!A6:E70,4,)</f>
        <v>0</v>
      </c>
      <c r="H262" s="67">
        <f>VLOOKUP(BB!C257,'Master Akun'!A6:E70,5,)</f>
        <v>0</v>
      </c>
    </row>
    <row r="263" spans="1:8" ht="15" x14ac:dyDescent="0.2">
      <c r="A263" s="99"/>
      <c r="B263" s="66" t="s">
        <v>203</v>
      </c>
      <c r="C263" s="68"/>
      <c r="D263" s="68"/>
      <c r="E263" s="67">
        <f ca="1">SUMIF(JU!A7:G117,BB!C257,JU!F7:F117)</f>
        <v>118065000</v>
      </c>
      <c r="F263" s="67">
        <f ca="1">SUMIF(JU!A7:G117,BB!C257,JU!G7:G117)</f>
        <v>1725000</v>
      </c>
      <c r="G263" s="67">
        <f ca="1">IF(G262+E263&gt;H262+F263,G262+E263-(H262+F263),0)</f>
        <v>116340000</v>
      </c>
      <c r="H263" s="67">
        <f ca="1">IF(H262+F263&gt;G262+E263,H262+F263-(G262+E263),0)</f>
        <v>0</v>
      </c>
    </row>
    <row r="264" spans="1:8" ht="15" x14ac:dyDescent="0.2">
      <c r="A264" s="99"/>
      <c r="B264" s="66"/>
      <c r="C264" s="68"/>
      <c r="D264" s="68"/>
      <c r="E264" s="67"/>
      <c r="F264" s="67"/>
      <c r="G264" s="67"/>
      <c r="H264" s="67"/>
    </row>
    <row r="265" spans="1:8" ht="15" x14ac:dyDescent="0.2">
      <c r="A265" s="101"/>
      <c r="B265" s="101"/>
      <c r="C265" s="101"/>
      <c r="D265" s="101"/>
      <c r="E265" s="101"/>
      <c r="F265" s="101"/>
      <c r="G265" s="101"/>
      <c r="H265" s="101"/>
    </row>
    <row r="266" spans="1:8" ht="15" x14ac:dyDescent="0.2">
      <c r="A266" s="189" t="s">
        <v>152</v>
      </c>
      <c r="B266" s="189"/>
      <c r="C266" s="93">
        <v>61001</v>
      </c>
      <c r="D266" s="94"/>
      <c r="E266" s="94"/>
      <c r="F266" s="94"/>
      <c r="G266" s="94"/>
      <c r="H266" s="94"/>
    </row>
    <row r="267" spans="1:8" ht="15" x14ac:dyDescent="0.2">
      <c r="A267" s="93" t="s">
        <v>153</v>
      </c>
      <c r="B267" s="95"/>
      <c r="C267" s="189" t="str">
        <f>VLOOKUP(C266,'Master Akun'!A6:E70,2,)</f>
        <v>Beban Gaji Karyawan</v>
      </c>
      <c r="D267" s="189"/>
      <c r="E267" s="189"/>
      <c r="F267" s="189"/>
      <c r="G267" s="189"/>
      <c r="H267" s="189"/>
    </row>
    <row r="268" spans="1:8" ht="15" x14ac:dyDescent="0.2">
      <c r="A268" s="96"/>
      <c r="B268" s="95"/>
      <c r="C268" s="96"/>
      <c r="D268" s="96"/>
      <c r="E268" s="96"/>
      <c r="F268" s="96"/>
      <c r="G268" s="96"/>
      <c r="H268" s="96"/>
    </row>
    <row r="269" spans="1:8" ht="15" x14ac:dyDescent="0.15">
      <c r="A269" s="190" t="s">
        <v>142</v>
      </c>
      <c r="B269" s="191" t="s">
        <v>154</v>
      </c>
      <c r="C269" s="191" t="s">
        <v>144</v>
      </c>
      <c r="D269" s="191" t="s">
        <v>145</v>
      </c>
      <c r="E269" s="191" t="s">
        <v>2</v>
      </c>
      <c r="F269" s="191" t="s">
        <v>3</v>
      </c>
      <c r="G269" s="191" t="s">
        <v>155</v>
      </c>
      <c r="H269" s="191"/>
    </row>
    <row r="270" spans="1:8" ht="15" x14ac:dyDescent="0.2">
      <c r="A270" s="190"/>
      <c r="B270" s="191"/>
      <c r="C270" s="191"/>
      <c r="D270" s="191"/>
      <c r="E270" s="191"/>
      <c r="F270" s="191"/>
      <c r="G270" s="97" t="s">
        <v>2</v>
      </c>
      <c r="H270" s="97" t="s">
        <v>3</v>
      </c>
    </row>
    <row r="271" spans="1:8" ht="15" x14ac:dyDescent="0.2">
      <c r="A271" s="98"/>
      <c r="B271" s="66" t="s">
        <v>202</v>
      </c>
      <c r="C271" s="68"/>
      <c r="D271" s="68"/>
      <c r="E271" s="67"/>
      <c r="F271" s="67"/>
      <c r="G271" s="67">
        <f>VLOOKUP(BB!C266,'Master Akun'!A6:E70,4,)</f>
        <v>0</v>
      </c>
      <c r="H271" s="67">
        <f>VLOOKUP(BB!C266,'Master Akun'!A6:E70,5,)</f>
        <v>0</v>
      </c>
    </row>
    <row r="272" spans="1:8" ht="15" x14ac:dyDescent="0.2">
      <c r="A272" s="99"/>
      <c r="B272" s="66" t="s">
        <v>203</v>
      </c>
      <c r="C272" s="68"/>
      <c r="D272" s="68"/>
      <c r="E272" s="67">
        <f ca="1">SUMIF(JU!A7:G117,BB!C266,JU!F7:F117)</f>
        <v>14500000</v>
      </c>
      <c r="F272" s="67">
        <f ca="1">SUMIF(JU!A7:G117,BB!C266,JU!G7:G117)</f>
        <v>0</v>
      </c>
      <c r="G272" s="67">
        <f ca="1">IF(G271+E272&gt;H271+F272,G271+E272-(H271+F272),0)</f>
        <v>14500000</v>
      </c>
      <c r="H272" s="67">
        <f ca="1">IF(H271+F272&gt;G271+E272,H271+F272-(G271+E272),0)</f>
        <v>0</v>
      </c>
    </row>
    <row r="273" spans="1:8" ht="15" x14ac:dyDescent="0.2">
      <c r="A273" s="99"/>
      <c r="B273" s="66"/>
      <c r="C273" s="68"/>
      <c r="D273" s="68"/>
      <c r="E273" s="67"/>
      <c r="F273" s="67"/>
      <c r="G273" s="67"/>
      <c r="H273" s="67"/>
    </row>
    <row r="274" spans="1:8" ht="15" x14ac:dyDescent="0.2">
      <c r="A274" s="101"/>
      <c r="B274" s="101"/>
      <c r="C274" s="101"/>
      <c r="D274" s="101"/>
      <c r="E274" s="101"/>
      <c r="F274" s="101"/>
      <c r="G274" s="101"/>
      <c r="H274" s="101"/>
    </row>
    <row r="275" spans="1:8" ht="15" x14ac:dyDescent="0.2">
      <c r="A275" s="189" t="s">
        <v>152</v>
      </c>
      <c r="B275" s="189"/>
      <c r="C275" s="93">
        <v>61002</v>
      </c>
      <c r="D275" s="94"/>
      <c r="E275" s="94"/>
      <c r="F275" s="94"/>
      <c r="G275" s="94"/>
      <c r="H275" s="94"/>
    </row>
    <row r="276" spans="1:8" ht="15" x14ac:dyDescent="0.2">
      <c r="A276" s="93" t="s">
        <v>153</v>
      </c>
      <c r="B276" s="95"/>
      <c r="C276" s="189" t="str">
        <f>VLOOKUP(C275,'Master Akun'!A6:E70,2,)</f>
        <v>Beban Sewa</v>
      </c>
      <c r="D276" s="189"/>
      <c r="E276" s="189"/>
      <c r="F276" s="189"/>
      <c r="G276" s="189"/>
      <c r="H276" s="189"/>
    </row>
    <row r="277" spans="1:8" ht="15" x14ac:dyDescent="0.2">
      <c r="A277" s="96"/>
      <c r="B277" s="95"/>
      <c r="C277" s="96"/>
      <c r="D277" s="96"/>
      <c r="E277" s="96"/>
      <c r="F277" s="96"/>
      <c r="G277" s="96"/>
      <c r="H277" s="96"/>
    </row>
    <row r="278" spans="1:8" ht="15" x14ac:dyDescent="0.15">
      <c r="A278" s="190" t="s">
        <v>142</v>
      </c>
      <c r="B278" s="191" t="s">
        <v>154</v>
      </c>
      <c r="C278" s="191" t="s">
        <v>144</v>
      </c>
      <c r="D278" s="191" t="s">
        <v>145</v>
      </c>
      <c r="E278" s="191" t="s">
        <v>2</v>
      </c>
      <c r="F278" s="191" t="s">
        <v>3</v>
      </c>
      <c r="G278" s="191" t="s">
        <v>155</v>
      </c>
      <c r="H278" s="191"/>
    </row>
    <row r="279" spans="1:8" ht="15" x14ac:dyDescent="0.2">
      <c r="A279" s="190"/>
      <c r="B279" s="191"/>
      <c r="C279" s="191"/>
      <c r="D279" s="191"/>
      <c r="E279" s="191"/>
      <c r="F279" s="191"/>
      <c r="G279" s="97" t="s">
        <v>2</v>
      </c>
      <c r="H279" s="97" t="s">
        <v>3</v>
      </c>
    </row>
    <row r="280" spans="1:8" ht="15" x14ac:dyDescent="0.2">
      <c r="A280" s="98"/>
      <c r="B280" s="66" t="s">
        <v>202</v>
      </c>
      <c r="C280" s="68"/>
      <c r="D280" s="68"/>
      <c r="E280" s="67"/>
      <c r="F280" s="67"/>
      <c r="G280" s="67">
        <f>VLOOKUP(BB!C275,'Master Akun'!A6:E70,4,)</f>
        <v>0</v>
      </c>
      <c r="H280" s="67">
        <f>VLOOKUP(BB!C275,'Master Akun'!A6:E70,5,)</f>
        <v>0</v>
      </c>
    </row>
    <row r="281" spans="1:8" ht="15" x14ac:dyDescent="0.2">
      <c r="A281" s="99"/>
      <c r="B281" s="66" t="s">
        <v>203</v>
      </c>
      <c r="C281" s="68"/>
      <c r="D281" s="68"/>
      <c r="E281" s="67">
        <f ca="1">SUMIF(JU!A7:G117,BB!C275,JU!F7:F117)</f>
        <v>2500000</v>
      </c>
      <c r="F281" s="67">
        <f ca="1">SUMIF(JU!A7:G117,BB!C275,JU!G7:G117)</f>
        <v>0</v>
      </c>
      <c r="G281" s="67">
        <f ca="1">IF(G280+E281&gt;H280+F281,G280+E281-(H280+F281),0)</f>
        <v>2500000</v>
      </c>
      <c r="H281" s="67">
        <f ca="1">IF(H280+F281&gt;G280+E281,H280+F281-(G280+E281),0)</f>
        <v>0</v>
      </c>
    </row>
    <row r="282" spans="1:8" ht="15" x14ac:dyDescent="0.2">
      <c r="A282" s="99"/>
      <c r="B282" s="66"/>
      <c r="C282" s="68"/>
      <c r="D282" s="68"/>
      <c r="E282" s="67"/>
      <c r="F282" s="67"/>
      <c r="G282" s="67"/>
      <c r="H282" s="67"/>
    </row>
    <row r="283" spans="1:8" ht="15" x14ac:dyDescent="0.2">
      <c r="A283" s="101"/>
      <c r="B283" s="101"/>
      <c r="C283" s="101"/>
      <c r="D283" s="101"/>
      <c r="E283" s="101"/>
      <c r="F283" s="101"/>
      <c r="G283" s="101"/>
      <c r="H283" s="101"/>
    </row>
    <row r="284" spans="1:8" ht="15" x14ac:dyDescent="0.2">
      <c r="A284" s="189" t="s">
        <v>152</v>
      </c>
      <c r="B284" s="189"/>
      <c r="C284" s="93">
        <v>61003</v>
      </c>
      <c r="D284" s="94"/>
      <c r="E284" s="94"/>
      <c r="F284" s="94"/>
      <c r="G284" s="94"/>
      <c r="H284" s="94"/>
    </row>
    <row r="285" spans="1:8" ht="15" x14ac:dyDescent="0.2">
      <c r="A285" s="93" t="s">
        <v>153</v>
      </c>
      <c r="B285" s="95"/>
      <c r="C285" s="189" t="str">
        <f>VLOOKUP(C284,'Master Akun'!A6:E70,2,)</f>
        <v>Beban Piutang Tak Tertagih</v>
      </c>
      <c r="D285" s="189"/>
      <c r="E285" s="189"/>
      <c r="F285" s="189"/>
      <c r="G285" s="189"/>
      <c r="H285" s="189"/>
    </row>
    <row r="286" spans="1:8" ht="15" x14ac:dyDescent="0.2">
      <c r="A286" s="96"/>
      <c r="B286" s="95"/>
      <c r="C286" s="96"/>
      <c r="D286" s="96"/>
      <c r="E286" s="96"/>
      <c r="F286" s="96"/>
      <c r="G286" s="96"/>
      <c r="H286" s="96"/>
    </row>
    <row r="287" spans="1:8" ht="15" x14ac:dyDescent="0.15">
      <c r="A287" s="190" t="s">
        <v>142</v>
      </c>
      <c r="B287" s="191" t="s">
        <v>154</v>
      </c>
      <c r="C287" s="191" t="s">
        <v>144</v>
      </c>
      <c r="D287" s="191" t="s">
        <v>145</v>
      </c>
      <c r="E287" s="191" t="s">
        <v>2</v>
      </c>
      <c r="F287" s="191" t="s">
        <v>3</v>
      </c>
      <c r="G287" s="191" t="s">
        <v>155</v>
      </c>
      <c r="H287" s="191"/>
    </row>
    <row r="288" spans="1:8" ht="15" x14ac:dyDescent="0.2">
      <c r="A288" s="190"/>
      <c r="B288" s="191"/>
      <c r="C288" s="191"/>
      <c r="D288" s="191"/>
      <c r="E288" s="191"/>
      <c r="F288" s="191"/>
      <c r="G288" s="97" t="s">
        <v>2</v>
      </c>
      <c r="H288" s="97" t="s">
        <v>3</v>
      </c>
    </row>
    <row r="289" spans="1:8" ht="15" x14ac:dyDescent="0.2">
      <c r="A289" s="98"/>
      <c r="B289" s="66" t="s">
        <v>202</v>
      </c>
      <c r="C289" s="68"/>
      <c r="D289" s="68"/>
      <c r="E289" s="67"/>
      <c r="F289" s="67"/>
      <c r="G289" s="67">
        <f>VLOOKUP(BB!C284,'Master Akun'!A6:E70,4,)</f>
        <v>0</v>
      </c>
      <c r="H289" s="67">
        <f>VLOOKUP(BB!C284,'Master Akun'!A6:E70,5,)</f>
        <v>0</v>
      </c>
    </row>
    <row r="290" spans="1:8" ht="15" x14ac:dyDescent="0.2">
      <c r="A290" s="99"/>
      <c r="B290" s="66" t="s">
        <v>203</v>
      </c>
      <c r="C290" s="68"/>
      <c r="D290" s="68"/>
      <c r="E290" s="67">
        <f ca="1">SUMIF(JU!A7:G117,BB!C284,JU!F7:F117)</f>
        <v>2901750</v>
      </c>
      <c r="F290" s="67">
        <f ca="1">SUMIF(JU!A7:G117,BB!C284,JU!G7:G117)</f>
        <v>0</v>
      </c>
      <c r="G290" s="67">
        <f ca="1">IF(G289+E290&gt;H289+F290,G289+E290-(H289+F290),0)</f>
        <v>2901750</v>
      </c>
      <c r="H290" s="67">
        <f ca="1">IF(H289+F290&gt;G289+E290,H289+F290-(G289+E290),0)</f>
        <v>0</v>
      </c>
    </row>
    <row r="291" spans="1:8" ht="15" x14ac:dyDescent="0.2">
      <c r="A291" s="99"/>
      <c r="B291" s="66"/>
      <c r="C291" s="68"/>
      <c r="D291" s="68"/>
      <c r="E291" s="67"/>
      <c r="F291" s="67"/>
      <c r="G291" s="67"/>
      <c r="H291" s="67"/>
    </row>
    <row r="292" spans="1:8" ht="15" x14ac:dyDescent="0.2">
      <c r="A292" s="101"/>
      <c r="B292" s="101"/>
      <c r="C292" s="101"/>
      <c r="D292" s="101"/>
      <c r="E292" s="101"/>
      <c r="F292" s="101"/>
      <c r="G292" s="101"/>
      <c r="H292" s="101"/>
    </row>
    <row r="293" spans="1:8" ht="15" x14ac:dyDescent="0.2">
      <c r="A293" s="189" t="s">
        <v>152</v>
      </c>
      <c r="B293" s="189"/>
      <c r="C293" s="93">
        <v>61004</v>
      </c>
      <c r="D293" s="94"/>
      <c r="E293" s="94"/>
      <c r="F293" s="94"/>
      <c r="G293" s="94"/>
      <c r="H293" s="94"/>
    </row>
    <row r="294" spans="1:8" ht="15" x14ac:dyDescent="0.2">
      <c r="A294" s="93" t="s">
        <v>153</v>
      </c>
      <c r="B294" s="95"/>
      <c r="C294" s="189" t="str">
        <f>VLOOKUP(C293,'Master Akun'!A6:E70,2,)</f>
        <v>Beban Listrik</v>
      </c>
      <c r="D294" s="189"/>
      <c r="E294" s="189"/>
      <c r="F294" s="189"/>
      <c r="G294" s="189"/>
      <c r="H294" s="189"/>
    </row>
    <row r="295" spans="1:8" ht="15" x14ac:dyDescent="0.2">
      <c r="A295" s="96"/>
      <c r="B295" s="95"/>
      <c r="C295" s="96"/>
      <c r="D295" s="96"/>
      <c r="E295" s="96"/>
      <c r="F295" s="96"/>
      <c r="G295" s="96"/>
      <c r="H295" s="96"/>
    </row>
    <row r="296" spans="1:8" ht="15" x14ac:dyDescent="0.15">
      <c r="A296" s="190" t="s">
        <v>142</v>
      </c>
      <c r="B296" s="191" t="s">
        <v>154</v>
      </c>
      <c r="C296" s="191" t="s">
        <v>144</v>
      </c>
      <c r="D296" s="191" t="s">
        <v>145</v>
      </c>
      <c r="E296" s="191" t="s">
        <v>2</v>
      </c>
      <c r="F296" s="191" t="s">
        <v>3</v>
      </c>
      <c r="G296" s="191" t="s">
        <v>155</v>
      </c>
      <c r="H296" s="191"/>
    </row>
    <row r="297" spans="1:8" ht="15" x14ac:dyDescent="0.2">
      <c r="A297" s="190"/>
      <c r="B297" s="191"/>
      <c r="C297" s="191"/>
      <c r="D297" s="191"/>
      <c r="E297" s="191"/>
      <c r="F297" s="191"/>
      <c r="G297" s="97" t="s">
        <v>2</v>
      </c>
      <c r="H297" s="97" t="s">
        <v>3</v>
      </c>
    </row>
    <row r="298" spans="1:8" ht="15" x14ac:dyDescent="0.2">
      <c r="A298" s="98"/>
      <c r="B298" s="66" t="s">
        <v>202</v>
      </c>
      <c r="C298" s="68"/>
      <c r="D298" s="68"/>
      <c r="E298" s="67"/>
      <c r="F298" s="67"/>
      <c r="G298" s="67">
        <f>VLOOKUP(BB!C293,'Master Akun'!A6:E70,4,)</f>
        <v>0</v>
      </c>
      <c r="H298" s="67">
        <f>VLOOKUP(BB!C293,'Master Akun'!A6:E70,5,)</f>
        <v>0</v>
      </c>
    </row>
    <row r="299" spans="1:8" ht="15" x14ac:dyDescent="0.2">
      <c r="A299" s="99"/>
      <c r="B299" s="66" t="s">
        <v>203</v>
      </c>
      <c r="C299" s="68"/>
      <c r="D299" s="68"/>
      <c r="E299" s="67">
        <f ca="1">SUMIF(JU!A7:G117,BB!C293,JU!F7:F117)</f>
        <v>175000</v>
      </c>
      <c r="F299" s="67">
        <f ca="1">SUMIF(JU!A7:G117,BB!C293,JU!G7:G117)</f>
        <v>0</v>
      </c>
      <c r="G299" s="67">
        <f ca="1">IF(G298+E299&gt;H298+F299,G298+E299-(H298+F299),0)</f>
        <v>175000</v>
      </c>
      <c r="H299" s="67">
        <f ca="1">IF(H298+F299&gt;G298+E299,H298+F299-(G298+E299),0)</f>
        <v>0</v>
      </c>
    </row>
    <row r="300" spans="1:8" ht="15" x14ac:dyDescent="0.2">
      <c r="A300" s="99"/>
      <c r="B300" s="66"/>
      <c r="C300" s="68"/>
      <c r="D300" s="68"/>
      <c r="E300" s="67"/>
      <c r="F300" s="67"/>
      <c r="G300" s="67"/>
      <c r="H300" s="67"/>
    </row>
    <row r="301" spans="1:8" ht="15" x14ac:dyDescent="0.2">
      <c r="A301" s="101"/>
      <c r="B301" s="101"/>
      <c r="C301" s="101"/>
      <c r="D301" s="101"/>
      <c r="E301" s="101"/>
      <c r="F301" s="101"/>
      <c r="G301" s="101"/>
      <c r="H301" s="101"/>
    </row>
    <row r="302" spans="1:8" ht="15" x14ac:dyDescent="0.2">
      <c r="A302" s="189" t="s">
        <v>152</v>
      </c>
      <c r="B302" s="189"/>
      <c r="C302" s="93">
        <v>61005</v>
      </c>
      <c r="D302" s="94"/>
      <c r="E302" s="94"/>
      <c r="F302" s="94"/>
      <c r="G302" s="94"/>
      <c r="H302" s="94"/>
    </row>
    <row r="303" spans="1:8" ht="15" x14ac:dyDescent="0.2">
      <c r="A303" s="93" t="s">
        <v>153</v>
      </c>
      <c r="B303" s="95"/>
      <c r="C303" s="189" t="str">
        <f>VLOOKUP(C302,'Master Akun'!A6:E70,2,)</f>
        <v>Beban Telepon</v>
      </c>
      <c r="D303" s="189"/>
      <c r="E303" s="189"/>
      <c r="F303" s="189"/>
      <c r="G303" s="189"/>
      <c r="H303" s="189"/>
    </row>
    <row r="304" spans="1:8" ht="15" x14ac:dyDescent="0.2">
      <c r="A304" s="96"/>
      <c r="B304" s="95"/>
      <c r="C304" s="96"/>
      <c r="D304" s="96"/>
      <c r="E304" s="96"/>
      <c r="F304" s="96"/>
      <c r="G304" s="96"/>
      <c r="H304" s="96"/>
    </row>
    <row r="305" spans="1:8" ht="15" x14ac:dyDescent="0.15">
      <c r="A305" s="190" t="s">
        <v>142</v>
      </c>
      <c r="B305" s="191" t="s">
        <v>154</v>
      </c>
      <c r="C305" s="191" t="s">
        <v>144</v>
      </c>
      <c r="D305" s="191" t="s">
        <v>145</v>
      </c>
      <c r="E305" s="191" t="s">
        <v>2</v>
      </c>
      <c r="F305" s="191" t="s">
        <v>3</v>
      </c>
      <c r="G305" s="191" t="s">
        <v>155</v>
      </c>
      <c r="H305" s="191"/>
    </row>
    <row r="306" spans="1:8" ht="15" x14ac:dyDescent="0.2">
      <c r="A306" s="190"/>
      <c r="B306" s="191"/>
      <c r="C306" s="191"/>
      <c r="D306" s="191"/>
      <c r="E306" s="191"/>
      <c r="F306" s="191"/>
      <c r="G306" s="97" t="s">
        <v>2</v>
      </c>
      <c r="H306" s="97" t="s">
        <v>3</v>
      </c>
    </row>
    <row r="307" spans="1:8" ht="15" x14ac:dyDescent="0.2">
      <c r="A307" s="98"/>
      <c r="B307" s="66" t="s">
        <v>202</v>
      </c>
      <c r="C307" s="68"/>
      <c r="D307" s="68"/>
      <c r="E307" s="67"/>
      <c r="F307" s="67"/>
      <c r="G307" s="67">
        <f>VLOOKUP(BB!C302,'Master Akun'!A6:E70,4,)</f>
        <v>0</v>
      </c>
      <c r="H307" s="67">
        <f>VLOOKUP(BB!C302,'Master Akun'!A6:E70,5,)</f>
        <v>0</v>
      </c>
    </row>
    <row r="308" spans="1:8" ht="15" x14ac:dyDescent="0.2">
      <c r="A308" s="99"/>
      <c r="B308" s="66" t="s">
        <v>203</v>
      </c>
      <c r="C308" s="68"/>
      <c r="D308" s="68"/>
      <c r="E308" s="67">
        <f ca="1">SUMIF(JU!A7:G117,BB!C302,JU!F7:F117)</f>
        <v>212500</v>
      </c>
      <c r="F308" s="67">
        <f ca="1">SUMIF(JU!A7:G117,BB!C302,JU!G7:G117)</f>
        <v>0</v>
      </c>
      <c r="G308" s="67">
        <f ca="1">IF(G307+E308&gt;H307+F308,G307+E308-(H307+F308),0)</f>
        <v>212500</v>
      </c>
      <c r="H308" s="67">
        <f ca="1">IF(H307+F308&gt;G307+E308,H307+F308-(G307+E308),0)</f>
        <v>0</v>
      </c>
    </row>
    <row r="309" spans="1:8" ht="15" x14ac:dyDescent="0.2">
      <c r="A309" s="99"/>
      <c r="B309" s="66"/>
      <c r="C309" s="68"/>
      <c r="D309" s="68"/>
      <c r="E309" s="67"/>
      <c r="F309" s="67"/>
      <c r="G309" s="67"/>
      <c r="H309" s="67"/>
    </row>
    <row r="310" spans="1:8" ht="15" x14ac:dyDescent="0.2">
      <c r="A310" s="101"/>
      <c r="B310" s="101"/>
      <c r="C310" s="101"/>
      <c r="D310" s="101"/>
      <c r="E310" s="101"/>
      <c r="F310" s="101"/>
      <c r="G310" s="101"/>
      <c r="H310" s="101"/>
    </row>
    <row r="311" spans="1:8" ht="15" x14ac:dyDescent="0.2">
      <c r="A311" s="189" t="s">
        <v>152</v>
      </c>
      <c r="B311" s="189"/>
      <c r="C311" s="93">
        <v>61006</v>
      </c>
      <c r="D311" s="94"/>
      <c r="E311" s="94"/>
      <c r="F311" s="94"/>
      <c r="G311" s="94"/>
      <c r="H311" s="94"/>
    </row>
    <row r="312" spans="1:8" ht="15" x14ac:dyDescent="0.2">
      <c r="A312" s="93" t="s">
        <v>153</v>
      </c>
      <c r="B312" s="95"/>
      <c r="C312" s="189" t="str">
        <f>VLOOKUP(C311,'Master Akun'!A6:E70,2,)</f>
        <v>Beban Penyusutan Peralatan Kantor</v>
      </c>
      <c r="D312" s="189"/>
      <c r="E312" s="189"/>
      <c r="F312" s="189"/>
      <c r="G312" s="189"/>
      <c r="H312" s="189"/>
    </row>
    <row r="313" spans="1:8" ht="15" x14ac:dyDescent="0.2">
      <c r="A313" s="96"/>
      <c r="B313" s="95"/>
      <c r="C313" s="96"/>
      <c r="D313" s="96"/>
      <c r="E313" s="96"/>
      <c r="F313" s="96"/>
      <c r="G313" s="96"/>
      <c r="H313" s="96"/>
    </row>
    <row r="314" spans="1:8" ht="15" x14ac:dyDescent="0.15">
      <c r="A314" s="190" t="s">
        <v>142</v>
      </c>
      <c r="B314" s="191" t="s">
        <v>154</v>
      </c>
      <c r="C314" s="191" t="s">
        <v>144</v>
      </c>
      <c r="D314" s="191" t="s">
        <v>145</v>
      </c>
      <c r="E314" s="191" t="s">
        <v>2</v>
      </c>
      <c r="F314" s="191" t="s">
        <v>3</v>
      </c>
      <c r="G314" s="191" t="s">
        <v>155</v>
      </c>
      <c r="H314" s="191"/>
    </row>
    <row r="315" spans="1:8" ht="15" x14ac:dyDescent="0.2">
      <c r="A315" s="190"/>
      <c r="B315" s="191"/>
      <c r="C315" s="191"/>
      <c r="D315" s="191"/>
      <c r="E315" s="191"/>
      <c r="F315" s="191"/>
      <c r="G315" s="97" t="s">
        <v>2</v>
      </c>
      <c r="H315" s="97" t="s">
        <v>3</v>
      </c>
    </row>
    <row r="316" spans="1:8" ht="15" x14ac:dyDescent="0.2">
      <c r="A316" s="98"/>
      <c r="B316" s="66" t="s">
        <v>202</v>
      </c>
      <c r="C316" s="68"/>
      <c r="D316" s="68"/>
      <c r="E316" s="67"/>
      <c r="F316" s="67"/>
      <c r="G316" s="67">
        <f>VLOOKUP(BB!C311,'Master Akun'!A6:E70,4,)</f>
        <v>0</v>
      </c>
      <c r="H316" s="67">
        <f>VLOOKUP(BB!C311,'Master Akun'!A6:E70,5,)</f>
        <v>0</v>
      </c>
    </row>
    <row r="317" spans="1:8" ht="15" x14ac:dyDescent="0.2">
      <c r="A317" s="99"/>
      <c r="B317" s="66" t="s">
        <v>203</v>
      </c>
      <c r="C317" s="68"/>
      <c r="D317" s="68"/>
      <c r="E317" s="67">
        <f ca="1">SUMIF(JU!A7:G117,BB!C311,JU!F7:F117)</f>
        <v>400000</v>
      </c>
      <c r="F317" s="67">
        <f ca="1">SUMIF(JU!A7:G117,BB!C311,JU!G7:G117)</f>
        <v>0</v>
      </c>
      <c r="G317" s="67">
        <f ca="1">IF(G316+E317&gt;H316+F317,G316+E317-(H316+F317),0)</f>
        <v>400000</v>
      </c>
      <c r="H317" s="67">
        <f ca="1">IF(H316+F317&gt;G316+E317,H316+F317-(G316+E317),0)</f>
        <v>0</v>
      </c>
    </row>
    <row r="318" spans="1:8" ht="15" x14ac:dyDescent="0.2">
      <c r="A318" s="99"/>
      <c r="B318" s="66"/>
      <c r="C318" s="68"/>
      <c r="D318" s="68"/>
      <c r="E318" s="67"/>
      <c r="F318" s="67"/>
      <c r="G318" s="67"/>
      <c r="H318" s="67"/>
    </row>
    <row r="319" spans="1:8" ht="15" x14ac:dyDescent="0.2">
      <c r="A319" s="101"/>
      <c r="B319" s="101"/>
      <c r="C319" s="101"/>
      <c r="D319" s="101"/>
      <c r="E319" s="101"/>
      <c r="F319" s="101"/>
      <c r="G319" s="101"/>
      <c r="H319" s="101"/>
    </row>
    <row r="320" spans="1:8" ht="15" x14ac:dyDescent="0.2">
      <c r="A320" s="189" t="s">
        <v>152</v>
      </c>
      <c r="B320" s="189"/>
      <c r="C320" s="93">
        <v>61007</v>
      </c>
      <c r="D320" s="94"/>
      <c r="E320" s="94"/>
      <c r="F320" s="94"/>
      <c r="G320" s="94"/>
      <c r="H320" s="94"/>
    </row>
    <row r="321" spans="1:8" ht="15" x14ac:dyDescent="0.2">
      <c r="A321" s="93" t="s">
        <v>153</v>
      </c>
      <c r="B321" s="95"/>
      <c r="C321" s="189" t="str">
        <f>VLOOKUP(C320,'Master Akun'!A6:E70,2,)</f>
        <v>Beban Penyusutan Kendaraan</v>
      </c>
      <c r="D321" s="189"/>
      <c r="E321" s="189"/>
      <c r="F321" s="189"/>
      <c r="G321" s="189"/>
      <c r="H321" s="189"/>
    </row>
    <row r="322" spans="1:8" ht="15" x14ac:dyDescent="0.2">
      <c r="A322" s="96"/>
      <c r="B322" s="95"/>
      <c r="C322" s="96"/>
      <c r="D322" s="96"/>
      <c r="E322" s="96"/>
      <c r="F322" s="96"/>
      <c r="G322" s="96"/>
      <c r="H322" s="96"/>
    </row>
    <row r="323" spans="1:8" ht="15" x14ac:dyDescent="0.15">
      <c r="A323" s="190" t="s">
        <v>142</v>
      </c>
      <c r="B323" s="191" t="s">
        <v>154</v>
      </c>
      <c r="C323" s="191" t="s">
        <v>144</v>
      </c>
      <c r="D323" s="191" t="s">
        <v>145</v>
      </c>
      <c r="E323" s="191" t="s">
        <v>2</v>
      </c>
      <c r="F323" s="191" t="s">
        <v>3</v>
      </c>
      <c r="G323" s="191" t="s">
        <v>155</v>
      </c>
      <c r="H323" s="191"/>
    </row>
    <row r="324" spans="1:8" ht="15" x14ac:dyDescent="0.2">
      <c r="A324" s="190"/>
      <c r="B324" s="191"/>
      <c r="C324" s="191"/>
      <c r="D324" s="191"/>
      <c r="E324" s="191"/>
      <c r="F324" s="191"/>
      <c r="G324" s="97" t="s">
        <v>2</v>
      </c>
      <c r="H324" s="97" t="s">
        <v>3</v>
      </c>
    </row>
    <row r="325" spans="1:8" ht="15" x14ac:dyDescent="0.2">
      <c r="A325" s="98"/>
      <c r="B325" s="66" t="s">
        <v>202</v>
      </c>
      <c r="C325" s="68"/>
      <c r="D325" s="68"/>
      <c r="E325" s="67"/>
      <c r="F325" s="67"/>
      <c r="G325" s="67">
        <f>VLOOKUP(BB!C320,'Master Akun'!A6:E70,4,)</f>
        <v>0</v>
      </c>
      <c r="H325" s="67">
        <f>VLOOKUP(BB!C320,'Master Akun'!A6:E70,5,)</f>
        <v>0</v>
      </c>
    </row>
    <row r="326" spans="1:8" ht="15" x14ac:dyDescent="0.2">
      <c r="A326" s="99"/>
      <c r="B326" s="66" t="s">
        <v>203</v>
      </c>
      <c r="C326" s="68"/>
      <c r="D326" s="68"/>
      <c r="E326" s="67">
        <f ca="1">SUMIF(JU!A7:G117,BB!C320,JU!F7:F117)</f>
        <v>500000</v>
      </c>
      <c r="F326" s="67">
        <f ca="1">SUMIF(JU!A7:G117,BB!C320,JU!G7:G117)</f>
        <v>0</v>
      </c>
      <c r="G326" s="67">
        <f ca="1">IF(G325+E326&gt;H325+F326,G325+E326-(H325+F326),0)</f>
        <v>500000</v>
      </c>
      <c r="H326" s="67">
        <f ca="1">IF(H325+F326&gt;G325+E326,H325+F326-(G325+E326),0)</f>
        <v>0</v>
      </c>
    </row>
    <row r="327" spans="1:8" ht="15" x14ac:dyDescent="0.2">
      <c r="A327" s="99"/>
      <c r="B327" s="66"/>
      <c r="C327" s="68"/>
      <c r="D327" s="68"/>
      <c r="E327" s="67"/>
      <c r="F327" s="67"/>
      <c r="G327" s="67"/>
      <c r="H327" s="67"/>
    </row>
    <row r="328" spans="1:8" ht="15" x14ac:dyDescent="0.2">
      <c r="A328" s="101"/>
      <c r="B328" s="101"/>
      <c r="C328" s="101"/>
      <c r="D328" s="101"/>
      <c r="E328" s="101"/>
      <c r="F328" s="101"/>
      <c r="G328" s="101"/>
      <c r="H328" s="101"/>
    </row>
    <row r="329" spans="1:8" ht="15" x14ac:dyDescent="0.2">
      <c r="A329" s="189" t="s">
        <v>152</v>
      </c>
      <c r="B329" s="189"/>
      <c r="C329" s="93">
        <v>61008</v>
      </c>
      <c r="D329" s="94"/>
      <c r="E329" s="94"/>
      <c r="F329" s="94"/>
      <c r="G329" s="94"/>
      <c r="H329" s="94"/>
    </row>
    <row r="330" spans="1:8" ht="15" x14ac:dyDescent="0.2">
      <c r="A330" s="93" t="s">
        <v>153</v>
      </c>
      <c r="B330" s="95"/>
      <c r="C330" s="189" t="str">
        <f>VLOOKUP(C329,'Master Akun'!A6:E70,2,)</f>
        <v>Beban Pemasaran</v>
      </c>
      <c r="D330" s="189"/>
      <c r="E330" s="189"/>
      <c r="F330" s="189"/>
      <c r="G330" s="189"/>
      <c r="H330" s="189"/>
    </row>
    <row r="331" spans="1:8" ht="15" x14ac:dyDescent="0.2">
      <c r="A331" s="96"/>
      <c r="B331" s="95"/>
      <c r="C331" s="96"/>
      <c r="D331" s="96"/>
      <c r="E331" s="96"/>
      <c r="F331" s="96"/>
      <c r="G331" s="96"/>
      <c r="H331" s="96"/>
    </row>
    <row r="332" spans="1:8" ht="15" x14ac:dyDescent="0.15">
      <c r="A332" s="190" t="s">
        <v>142</v>
      </c>
      <c r="B332" s="191" t="s">
        <v>154</v>
      </c>
      <c r="C332" s="191" t="s">
        <v>144</v>
      </c>
      <c r="D332" s="191" t="s">
        <v>145</v>
      </c>
      <c r="E332" s="191" t="s">
        <v>2</v>
      </c>
      <c r="F332" s="191" t="s">
        <v>3</v>
      </c>
      <c r="G332" s="191" t="s">
        <v>155</v>
      </c>
      <c r="H332" s="191"/>
    </row>
    <row r="333" spans="1:8" ht="15" x14ac:dyDescent="0.2">
      <c r="A333" s="190"/>
      <c r="B333" s="191"/>
      <c r="C333" s="191"/>
      <c r="D333" s="191"/>
      <c r="E333" s="191"/>
      <c r="F333" s="191"/>
      <c r="G333" s="97" t="s">
        <v>2</v>
      </c>
      <c r="H333" s="97" t="s">
        <v>3</v>
      </c>
    </row>
    <row r="334" spans="1:8" ht="15" x14ac:dyDescent="0.2">
      <c r="A334" s="98"/>
      <c r="B334" s="66" t="s">
        <v>202</v>
      </c>
      <c r="C334" s="68"/>
      <c r="D334" s="68"/>
      <c r="E334" s="67"/>
      <c r="F334" s="67"/>
      <c r="G334" s="67">
        <f>VLOOKUP(BB!C329,'Master Akun'!A6:E70,4,)</f>
        <v>0</v>
      </c>
      <c r="H334" s="67">
        <f>VLOOKUP(BB!C329,'Master Akun'!A6:E70,5,)</f>
        <v>0</v>
      </c>
    </row>
    <row r="335" spans="1:8" ht="15" x14ac:dyDescent="0.2">
      <c r="A335" s="99"/>
      <c r="B335" s="66" t="s">
        <v>203</v>
      </c>
      <c r="C335" s="68"/>
      <c r="D335" s="68"/>
      <c r="E335" s="67">
        <f ca="1">SUMIF(JU!A7:G117,BB!C329,JU!F7:F117)</f>
        <v>750000</v>
      </c>
      <c r="F335" s="67">
        <f ca="1">SUMIF(JU!A7:G117,BB!C329,JU!G7:G117)</f>
        <v>0</v>
      </c>
      <c r="G335" s="67">
        <f ca="1">IF(G334+E335&gt;H334+F335,G334+E335-(H334+F335),0)</f>
        <v>750000</v>
      </c>
      <c r="H335" s="67">
        <f ca="1">IF(H334+F335&gt;G334+E335,H334+F335-(G334+E335),0)</f>
        <v>0</v>
      </c>
    </row>
    <row r="336" spans="1:8" ht="15" x14ac:dyDescent="0.2">
      <c r="A336" s="99"/>
      <c r="B336" s="66"/>
      <c r="C336" s="68"/>
      <c r="D336" s="68"/>
      <c r="E336" s="67"/>
      <c r="F336" s="67"/>
      <c r="G336" s="67"/>
      <c r="H336" s="67"/>
    </row>
    <row r="337" spans="1:8" ht="15" x14ac:dyDescent="0.2">
      <c r="A337" s="101"/>
      <c r="B337" s="101"/>
      <c r="C337" s="101"/>
      <c r="D337" s="101"/>
      <c r="E337" s="101"/>
      <c r="F337" s="101"/>
      <c r="G337" s="101"/>
      <c r="H337" s="101"/>
    </row>
    <row r="338" spans="1:8" ht="15" x14ac:dyDescent="0.2">
      <c r="A338" s="189" t="s">
        <v>152</v>
      </c>
      <c r="B338" s="189"/>
      <c r="C338" s="93">
        <v>61009</v>
      </c>
      <c r="D338" s="94"/>
      <c r="E338" s="94"/>
      <c r="F338" s="94"/>
      <c r="G338" s="94"/>
      <c r="H338" s="94"/>
    </row>
    <row r="339" spans="1:8" ht="15" x14ac:dyDescent="0.2">
      <c r="A339" s="93" t="s">
        <v>153</v>
      </c>
      <c r="B339" s="95"/>
      <c r="C339" s="189" t="str">
        <f>VLOOKUP(C338,'Master Akun'!A6:E70,2,)</f>
        <v>Beban Transportasi</v>
      </c>
      <c r="D339" s="189"/>
      <c r="E339" s="189"/>
      <c r="F339" s="189"/>
      <c r="G339" s="189"/>
      <c r="H339" s="189"/>
    </row>
    <row r="340" spans="1:8" ht="15" x14ac:dyDescent="0.2">
      <c r="A340" s="96"/>
      <c r="B340" s="95"/>
      <c r="C340" s="96"/>
      <c r="D340" s="96"/>
      <c r="E340" s="96"/>
      <c r="F340" s="96"/>
      <c r="G340" s="96"/>
      <c r="H340" s="96"/>
    </row>
    <row r="341" spans="1:8" ht="15" x14ac:dyDescent="0.15">
      <c r="A341" s="190" t="s">
        <v>142</v>
      </c>
      <c r="B341" s="191" t="s">
        <v>154</v>
      </c>
      <c r="C341" s="191" t="s">
        <v>144</v>
      </c>
      <c r="D341" s="191" t="s">
        <v>145</v>
      </c>
      <c r="E341" s="191" t="s">
        <v>2</v>
      </c>
      <c r="F341" s="191" t="s">
        <v>3</v>
      </c>
      <c r="G341" s="191" t="s">
        <v>155</v>
      </c>
      <c r="H341" s="191"/>
    </row>
    <row r="342" spans="1:8" ht="15" x14ac:dyDescent="0.2">
      <c r="A342" s="190"/>
      <c r="B342" s="191"/>
      <c r="C342" s="191"/>
      <c r="D342" s="191"/>
      <c r="E342" s="191"/>
      <c r="F342" s="191"/>
      <c r="G342" s="97" t="s">
        <v>2</v>
      </c>
      <c r="H342" s="97" t="s">
        <v>3</v>
      </c>
    </row>
    <row r="343" spans="1:8" ht="15" x14ac:dyDescent="0.2">
      <c r="A343" s="98"/>
      <c r="B343" s="66" t="s">
        <v>202</v>
      </c>
      <c r="C343" s="68"/>
      <c r="D343" s="68"/>
      <c r="E343" s="67"/>
      <c r="F343" s="67"/>
      <c r="G343" s="67">
        <f>VLOOKUP(BB!C338,'Master Akun'!A6:E70,4,)</f>
        <v>0</v>
      </c>
      <c r="H343" s="67">
        <f>VLOOKUP(BB!C338,'Master Akun'!A6:E70,5,)</f>
        <v>0</v>
      </c>
    </row>
    <row r="344" spans="1:8" ht="15" x14ac:dyDescent="0.2">
      <c r="A344" s="99"/>
      <c r="B344" s="66" t="s">
        <v>203</v>
      </c>
      <c r="C344" s="68"/>
      <c r="D344" s="68"/>
      <c r="E344" s="67">
        <f ca="1">SUMIF(JU!A7:G117,BB!C338,JU!F7:F117)</f>
        <v>250000</v>
      </c>
      <c r="F344" s="67">
        <f ca="1">SUMIF(JU!A7:G117,BB!C338,JU!G7:G117)</f>
        <v>0</v>
      </c>
      <c r="G344" s="67">
        <f ca="1">IF(G343+E344&gt;H343+F344,G343+E344-(H343+F344),0)</f>
        <v>250000</v>
      </c>
      <c r="H344" s="67">
        <f ca="1">IF(H343+F344&gt;G343+E344,H343+F344-(G343+E344),0)</f>
        <v>0</v>
      </c>
    </row>
    <row r="345" spans="1:8" ht="15" x14ac:dyDescent="0.2">
      <c r="A345" s="99"/>
      <c r="B345" s="66"/>
      <c r="C345" s="68"/>
      <c r="D345" s="68"/>
      <c r="E345" s="67"/>
      <c r="F345" s="67"/>
      <c r="G345" s="67"/>
      <c r="H345" s="67"/>
    </row>
    <row r="346" spans="1:8" ht="15" x14ac:dyDescent="0.2">
      <c r="A346" s="101"/>
      <c r="B346" s="101"/>
      <c r="C346" s="101"/>
      <c r="D346" s="101"/>
      <c r="E346" s="101"/>
      <c r="F346" s="101"/>
      <c r="G346" s="101"/>
      <c r="H346" s="101"/>
    </row>
    <row r="347" spans="1:8" ht="15" x14ac:dyDescent="0.2">
      <c r="A347" s="189" t="s">
        <v>152</v>
      </c>
      <c r="B347" s="189"/>
      <c r="C347" s="93">
        <v>61010</v>
      </c>
      <c r="D347" s="94"/>
      <c r="E347" s="94"/>
      <c r="F347" s="94"/>
      <c r="G347" s="94"/>
      <c r="H347" s="94"/>
    </row>
    <row r="348" spans="1:8" ht="15" x14ac:dyDescent="0.2">
      <c r="A348" s="93" t="s">
        <v>153</v>
      </c>
      <c r="B348" s="95"/>
      <c r="C348" s="189" t="str">
        <f>VLOOKUP(C347,'Master Akun'!A6:E70,2,)</f>
        <v>Beban Perawatan AC</v>
      </c>
      <c r="D348" s="189"/>
      <c r="E348" s="189"/>
      <c r="F348" s="189"/>
      <c r="G348" s="189"/>
      <c r="H348" s="189"/>
    </row>
    <row r="349" spans="1:8" ht="15" x14ac:dyDescent="0.2">
      <c r="A349" s="96"/>
      <c r="B349" s="95"/>
      <c r="C349" s="96"/>
      <c r="D349" s="96"/>
      <c r="E349" s="96"/>
      <c r="F349" s="96"/>
      <c r="G349" s="96"/>
      <c r="H349" s="96"/>
    </row>
    <row r="350" spans="1:8" ht="15" x14ac:dyDescent="0.15">
      <c r="A350" s="190" t="s">
        <v>142</v>
      </c>
      <c r="B350" s="191" t="s">
        <v>154</v>
      </c>
      <c r="C350" s="191" t="s">
        <v>144</v>
      </c>
      <c r="D350" s="191" t="s">
        <v>145</v>
      </c>
      <c r="E350" s="191" t="s">
        <v>2</v>
      </c>
      <c r="F350" s="191" t="s">
        <v>3</v>
      </c>
      <c r="G350" s="191" t="s">
        <v>155</v>
      </c>
      <c r="H350" s="191"/>
    </row>
    <row r="351" spans="1:8" ht="15" x14ac:dyDescent="0.2">
      <c r="A351" s="190"/>
      <c r="B351" s="191"/>
      <c r="C351" s="191"/>
      <c r="D351" s="191"/>
      <c r="E351" s="191"/>
      <c r="F351" s="191"/>
      <c r="G351" s="97" t="s">
        <v>2</v>
      </c>
      <c r="H351" s="97" t="s">
        <v>3</v>
      </c>
    </row>
    <row r="352" spans="1:8" ht="15" x14ac:dyDescent="0.2">
      <c r="A352" s="98"/>
      <c r="B352" s="66" t="s">
        <v>202</v>
      </c>
      <c r="C352" s="68"/>
      <c r="D352" s="68"/>
      <c r="E352" s="67"/>
      <c r="F352" s="67"/>
      <c r="G352" s="67">
        <f>VLOOKUP(BB!C338,'Master Akun'!A6:E70,4,)</f>
        <v>0</v>
      </c>
      <c r="H352" s="67">
        <f>VLOOKUP(BB!C347,'Master Akun'!A6:E70,5,)</f>
        <v>0</v>
      </c>
    </row>
    <row r="353" spans="1:8" ht="15" x14ac:dyDescent="0.2">
      <c r="A353" s="99"/>
      <c r="B353" s="66" t="s">
        <v>203</v>
      </c>
      <c r="C353" s="68"/>
      <c r="D353" s="68"/>
      <c r="E353" s="67">
        <f ca="1">SUMIF(JU!A7:G117,BB!C347,JU!F7:F117)</f>
        <v>200000</v>
      </c>
      <c r="F353" s="67">
        <f ca="1">SUMIF(JU!A7:G117,BB!C347,JU!G7:G117)</f>
        <v>0</v>
      </c>
      <c r="G353" s="67">
        <f ca="1">IF(G352+E353&gt;H352+F353,G352+E353-(H352+F353),0)</f>
        <v>200000</v>
      </c>
      <c r="H353" s="67">
        <f ca="1">IF(H352+F353&gt;G352+E353,H352+F353-(G352+E353),0)</f>
        <v>0</v>
      </c>
    </row>
    <row r="354" spans="1:8" ht="15" x14ac:dyDescent="0.2">
      <c r="A354" s="99"/>
      <c r="B354" s="66"/>
      <c r="C354" s="68"/>
      <c r="D354" s="68"/>
      <c r="E354" s="67"/>
      <c r="F354" s="67"/>
      <c r="G354" s="67"/>
      <c r="H354" s="67"/>
    </row>
    <row r="355" spans="1:8" ht="15" x14ac:dyDescent="0.2">
      <c r="A355" s="101"/>
      <c r="B355" s="101"/>
      <c r="C355" s="101"/>
      <c r="D355" s="101"/>
      <c r="E355" s="101"/>
      <c r="F355" s="101"/>
      <c r="G355" s="101"/>
      <c r="H355" s="101"/>
    </row>
    <row r="356" spans="1:8" ht="15" x14ac:dyDescent="0.2">
      <c r="A356" s="189" t="s">
        <v>152</v>
      </c>
      <c r="B356" s="189"/>
      <c r="C356" s="93">
        <v>61011</v>
      </c>
      <c r="D356" s="94"/>
      <c r="E356" s="94"/>
      <c r="F356" s="94"/>
      <c r="G356" s="94"/>
      <c r="H356" s="94"/>
    </row>
    <row r="357" spans="1:8" ht="15" x14ac:dyDescent="0.2">
      <c r="A357" s="93" t="s">
        <v>153</v>
      </c>
      <c r="B357" s="95"/>
      <c r="C357" s="189" t="str">
        <f>VLOOKUP(C356,'Master Akun'!A6:E70,2,)</f>
        <v>Beban Perlengkapan kantor</v>
      </c>
      <c r="D357" s="189"/>
      <c r="E357" s="189"/>
      <c r="F357" s="189"/>
      <c r="G357" s="189"/>
      <c r="H357" s="189"/>
    </row>
    <row r="358" spans="1:8" ht="15" x14ac:dyDescent="0.2">
      <c r="A358" s="96"/>
      <c r="B358" s="95"/>
      <c r="C358" s="96"/>
      <c r="D358" s="96"/>
      <c r="E358" s="96"/>
      <c r="F358" s="96"/>
      <c r="G358" s="96"/>
      <c r="H358" s="96"/>
    </row>
    <row r="359" spans="1:8" ht="15" x14ac:dyDescent="0.15">
      <c r="A359" s="190" t="s">
        <v>142</v>
      </c>
      <c r="B359" s="191" t="s">
        <v>154</v>
      </c>
      <c r="C359" s="191" t="s">
        <v>144</v>
      </c>
      <c r="D359" s="191" t="s">
        <v>145</v>
      </c>
      <c r="E359" s="191" t="s">
        <v>2</v>
      </c>
      <c r="F359" s="191" t="s">
        <v>3</v>
      </c>
      <c r="G359" s="191" t="s">
        <v>155</v>
      </c>
      <c r="H359" s="191"/>
    </row>
    <row r="360" spans="1:8" ht="15" x14ac:dyDescent="0.2">
      <c r="A360" s="190"/>
      <c r="B360" s="191"/>
      <c r="C360" s="191"/>
      <c r="D360" s="191"/>
      <c r="E360" s="191"/>
      <c r="F360" s="191"/>
      <c r="G360" s="97" t="s">
        <v>2</v>
      </c>
      <c r="H360" s="97" t="s">
        <v>3</v>
      </c>
    </row>
    <row r="361" spans="1:8" ht="15" x14ac:dyDescent="0.2">
      <c r="A361" s="98"/>
      <c r="B361" s="66" t="s">
        <v>202</v>
      </c>
      <c r="C361" s="68"/>
      <c r="D361" s="68"/>
      <c r="E361" s="67"/>
      <c r="F361" s="67"/>
      <c r="G361" s="67">
        <f>VLOOKUP(BB!C356,'Master Akun'!A6:E70,4,)</f>
        <v>0</v>
      </c>
      <c r="H361" s="67">
        <f>VLOOKUP(BB!C356,'Master Akun'!A6:E70,5,)</f>
        <v>0</v>
      </c>
    </row>
    <row r="362" spans="1:8" ht="15" x14ac:dyDescent="0.2">
      <c r="A362" s="99"/>
      <c r="B362" s="66" t="s">
        <v>203</v>
      </c>
      <c r="C362" s="68"/>
      <c r="D362" s="68"/>
      <c r="E362" s="67">
        <f ca="1">SUMIF(JU!A7:G117,BB!C356,JU!F7:F117)</f>
        <v>50000</v>
      </c>
      <c r="F362" s="67">
        <f ca="1">SUMIF(JU!A7:G117,BB!C356,JU!G7:G117)</f>
        <v>0</v>
      </c>
      <c r="G362" s="67">
        <f ca="1">IF(G361+E362&gt;H361+F362,G361+E362-(H361+F362),0)</f>
        <v>50000</v>
      </c>
      <c r="H362" s="67">
        <f ca="1">IF(H361+F362&gt;G361+E362,H361+F362-(G361+E362),0)</f>
        <v>0</v>
      </c>
    </row>
    <row r="363" spans="1:8" ht="15" x14ac:dyDescent="0.2">
      <c r="A363" s="99"/>
      <c r="B363" s="66"/>
      <c r="C363" s="68"/>
      <c r="D363" s="68"/>
      <c r="E363" s="67"/>
      <c r="F363" s="67"/>
      <c r="G363" s="67"/>
      <c r="H363" s="67"/>
    </row>
    <row r="364" spans="1:8" ht="15" x14ac:dyDescent="0.2">
      <c r="A364" s="101"/>
      <c r="B364" s="101"/>
      <c r="C364" s="101"/>
      <c r="D364" s="101"/>
      <c r="E364" s="101"/>
      <c r="F364" s="101"/>
      <c r="G364" s="101"/>
      <c r="H364" s="101"/>
    </row>
    <row r="365" spans="1:8" ht="15" x14ac:dyDescent="0.2">
      <c r="A365" s="189" t="s">
        <v>152</v>
      </c>
      <c r="B365" s="189"/>
      <c r="C365" s="93">
        <v>61099</v>
      </c>
      <c r="D365" s="94"/>
      <c r="E365" s="94"/>
      <c r="F365" s="94"/>
      <c r="G365" s="94"/>
      <c r="H365" s="94"/>
    </row>
    <row r="366" spans="1:8" ht="15" x14ac:dyDescent="0.2">
      <c r="A366" s="93" t="s">
        <v>153</v>
      </c>
      <c r="B366" s="95"/>
      <c r="C366" s="189" t="str">
        <f>VLOOKUP(C365,'Master Akun'!A6:E70,2,)</f>
        <v>Beban Umum Lain-lain</v>
      </c>
      <c r="D366" s="189"/>
      <c r="E366" s="189"/>
      <c r="F366" s="189"/>
      <c r="G366" s="189"/>
      <c r="H366" s="189"/>
    </row>
    <row r="367" spans="1:8" ht="15" x14ac:dyDescent="0.2">
      <c r="A367" s="96"/>
      <c r="B367" s="95"/>
      <c r="C367" s="96"/>
      <c r="D367" s="96"/>
      <c r="E367" s="96"/>
      <c r="F367" s="96"/>
      <c r="G367" s="96"/>
      <c r="H367" s="96"/>
    </row>
    <row r="368" spans="1:8" ht="15" x14ac:dyDescent="0.15">
      <c r="A368" s="190" t="s">
        <v>142</v>
      </c>
      <c r="B368" s="191" t="s">
        <v>154</v>
      </c>
      <c r="C368" s="191" t="s">
        <v>144</v>
      </c>
      <c r="D368" s="191" t="s">
        <v>145</v>
      </c>
      <c r="E368" s="191" t="s">
        <v>2</v>
      </c>
      <c r="F368" s="191" t="s">
        <v>3</v>
      </c>
      <c r="G368" s="191" t="s">
        <v>155</v>
      </c>
      <c r="H368" s="191"/>
    </row>
    <row r="369" spans="1:8" ht="15" x14ac:dyDescent="0.2">
      <c r="A369" s="190"/>
      <c r="B369" s="191"/>
      <c r="C369" s="191"/>
      <c r="D369" s="191"/>
      <c r="E369" s="191"/>
      <c r="F369" s="191"/>
      <c r="G369" s="97" t="s">
        <v>2</v>
      </c>
      <c r="H369" s="97" t="s">
        <v>3</v>
      </c>
    </row>
    <row r="370" spans="1:8" ht="15" x14ac:dyDescent="0.2">
      <c r="A370" s="98"/>
      <c r="B370" s="66" t="s">
        <v>202</v>
      </c>
      <c r="C370" s="68"/>
      <c r="D370" s="68"/>
      <c r="E370" s="67"/>
      <c r="F370" s="67"/>
      <c r="G370" s="67">
        <f>VLOOKUP(BB!C365,'Master Akun'!A6:E70,4,)</f>
        <v>0</v>
      </c>
      <c r="H370" s="67">
        <f>VLOOKUP(BB!C365,'Master Akun'!A6:E70,5,)</f>
        <v>0</v>
      </c>
    </row>
    <row r="371" spans="1:8" ht="15" x14ac:dyDescent="0.2">
      <c r="A371" s="99"/>
      <c r="B371" s="66" t="s">
        <v>203</v>
      </c>
      <c r="C371" s="68"/>
      <c r="D371" s="68"/>
      <c r="E371" s="67">
        <f ca="1">SUMIF(JU!A7:G117,BB!C365,JU!F7:F117)</f>
        <v>0</v>
      </c>
      <c r="F371" s="67">
        <f ca="1">SUMIF(JU!A7:G117,BB!C365,JU!G7:G117)</f>
        <v>0</v>
      </c>
      <c r="G371" s="67">
        <f ca="1">IF(G370+E371&gt;H370+F371,G370+E371-(H370+F371),0)</f>
        <v>0</v>
      </c>
      <c r="H371" s="67">
        <f ca="1">IF(H370+F371&gt;G370+E371,H370+F371-(G370+E371),0)</f>
        <v>0</v>
      </c>
    </row>
    <row r="372" spans="1:8" ht="15" x14ac:dyDescent="0.2">
      <c r="A372" s="99"/>
      <c r="B372" s="66"/>
      <c r="C372" s="68"/>
      <c r="D372" s="68"/>
      <c r="E372" s="67"/>
      <c r="F372" s="67"/>
      <c r="G372" s="67"/>
      <c r="H372" s="67"/>
    </row>
    <row r="373" spans="1:8" ht="15" x14ac:dyDescent="0.2">
      <c r="A373" s="101"/>
      <c r="B373" s="101"/>
      <c r="C373" s="101"/>
      <c r="D373" s="101"/>
      <c r="E373" s="101"/>
      <c r="F373" s="101"/>
      <c r="G373" s="101"/>
      <c r="H373" s="101"/>
    </row>
    <row r="374" spans="1:8" ht="15" x14ac:dyDescent="0.2">
      <c r="A374" s="189" t="s">
        <v>152</v>
      </c>
      <c r="B374" s="189"/>
      <c r="C374" s="93">
        <v>81001</v>
      </c>
      <c r="D374" s="94"/>
      <c r="E374" s="94"/>
      <c r="F374" s="94"/>
      <c r="G374" s="94"/>
      <c r="H374" s="94"/>
    </row>
    <row r="375" spans="1:8" ht="15" x14ac:dyDescent="0.2">
      <c r="A375" s="93" t="s">
        <v>153</v>
      </c>
      <c r="B375" s="95"/>
      <c r="C375" s="189" t="str">
        <f>VLOOKUP(C374,'Master Akun'!A6:E70,2,)</f>
        <v>Laba Penjualan Aktiva Tetap</v>
      </c>
      <c r="D375" s="189"/>
      <c r="E375" s="189"/>
      <c r="F375" s="189"/>
      <c r="G375" s="189"/>
      <c r="H375" s="189"/>
    </row>
    <row r="376" spans="1:8" ht="15" x14ac:dyDescent="0.2">
      <c r="A376" s="96"/>
      <c r="B376" s="95"/>
      <c r="C376" s="96"/>
      <c r="D376" s="96"/>
      <c r="E376" s="96"/>
      <c r="F376" s="96"/>
      <c r="G376" s="96"/>
      <c r="H376" s="96"/>
    </row>
    <row r="377" spans="1:8" ht="15" x14ac:dyDescent="0.15">
      <c r="A377" s="190" t="s">
        <v>142</v>
      </c>
      <c r="B377" s="191" t="s">
        <v>154</v>
      </c>
      <c r="C377" s="191" t="s">
        <v>144</v>
      </c>
      <c r="D377" s="191" t="s">
        <v>145</v>
      </c>
      <c r="E377" s="191" t="s">
        <v>2</v>
      </c>
      <c r="F377" s="191" t="s">
        <v>3</v>
      </c>
      <c r="G377" s="191" t="s">
        <v>155</v>
      </c>
      <c r="H377" s="191"/>
    </row>
    <row r="378" spans="1:8" ht="15" x14ac:dyDescent="0.2">
      <c r="A378" s="190"/>
      <c r="B378" s="191"/>
      <c r="C378" s="191"/>
      <c r="D378" s="191"/>
      <c r="E378" s="191"/>
      <c r="F378" s="191"/>
      <c r="G378" s="97" t="s">
        <v>2</v>
      </c>
      <c r="H378" s="97" t="s">
        <v>3</v>
      </c>
    </row>
    <row r="379" spans="1:8" ht="15" x14ac:dyDescent="0.2">
      <c r="A379" s="98"/>
      <c r="B379" s="66" t="s">
        <v>202</v>
      </c>
      <c r="C379" s="68"/>
      <c r="D379" s="68"/>
      <c r="E379" s="67"/>
      <c r="F379" s="67"/>
      <c r="G379" s="67">
        <f>VLOOKUP(BB!C374,'Master Akun'!A6:E70,4,)</f>
        <v>0</v>
      </c>
      <c r="H379" s="67">
        <f>VLOOKUP(BB!C374,'Master Akun'!A6:E70,5,)</f>
        <v>0</v>
      </c>
    </row>
    <row r="380" spans="1:8" ht="15" x14ac:dyDescent="0.2">
      <c r="A380" s="99"/>
      <c r="B380" s="66" t="s">
        <v>203</v>
      </c>
      <c r="C380" s="68"/>
      <c r="D380" s="68"/>
      <c r="E380" s="67">
        <f ca="1">SUMIF(JU!A7:G117,BB!C374,JU!F7:F117)</f>
        <v>0</v>
      </c>
      <c r="F380" s="67">
        <f ca="1">SUMIF(JU!A7:G117,BB!C374,JU!G7:G117)</f>
        <v>1000000</v>
      </c>
      <c r="G380" s="67">
        <f ca="1">IF(G379+E380&gt;H379+F380,G379+E380-(H379+F380),0)</f>
        <v>0</v>
      </c>
      <c r="H380" s="67">
        <f ca="1">IF(H379+F380&gt;G379+E380,H379+F380-(G379+E380),0)</f>
        <v>1000000</v>
      </c>
    </row>
    <row r="381" spans="1:8" ht="15" x14ac:dyDescent="0.2">
      <c r="A381" s="99"/>
      <c r="B381" s="66"/>
      <c r="C381" s="68"/>
      <c r="D381" s="68"/>
      <c r="E381" s="67"/>
      <c r="F381" s="67"/>
      <c r="G381" s="67"/>
      <c r="H381" s="67"/>
    </row>
    <row r="382" spans="1:8" ht="15" x14ac:dyDescent="0.2">
      <c r="A382" s="101"/>
      <c r="B382" s="101"/>
      <c r="C382" s="101"/>
      <c r="D382" s="101"/>
      <c r="E382" s="101"/>
      <c r="F382" s="101"/>
      <c r="G382" s="101"/>
      <c r="H382" s="101"/>
    </row>
    <row r="383" spans="1:8" ht="15" x14ac:dyDescent="0.2">
      <c r="A383" s="189" t="s">
        <v>152</v>
      </c>
      <c r="B383" s="189"/>
      <c r="C383" s="93">
        <v>81002</v>
      </c>
      <c r="D383" s="94"/>
      <c r="E383" s="94"/>
      <c r="F383" s="94"/>
      <c r="G383" s="94"/>
      <c r="H383" s="94"/>
    </row>
    <row r="384" spans="1:8" ht="15" x14ac:dyDescent="0.2">
      <c r="A384" s="93" t="s">
        <v>153</v>
      </c>
      <c r="B384" s="95"/>
      <c r="C384" s="189" t="str">
        <f>VLOOKUP(C383,'Master Akun'!A6:E70,2,)</f>
        <v>Pendapatan Jasa Giro</v>
      </c>
      <c r="D384" s="189"/>
      <c r="E384" s="189"/>
      <c r="F384" s="189"/>
      <c r="G384" s="189"/>
      <c r="H384" s="189"/>
    </row>
    <row r="385" spans="1:8" ht="15" x14ac:dyDescent="0.2">
      <c r="A385" s="96"/>
      <c r="B385" s="95"/>
      <c r="C385" s="96"/>
      <c r="D385" s="96"/>
      <c r="E385" s="96"/>
      <c r="F385" s="96"/>
      <c r="G385" s="96"/>
      <c r="H385" s="96"/>
    </row>
    <row r="386" spans="1:8" ht="15" x14ac:dyDescent="0.15">
      <c r="A386" s="190" t="s">
        <v>142</v>
      </c>
      <c r="B386" s="191" t="s">
        <v>154</v>
      </c>
      <c r="C386" s="191" t="s">
        <v>144</v>
      </c>
      <c r="D386" s="191" t="s">
        <v>145</v>
      </c>
      <c r="E386" s="191" t="s">
        <v>2</v>
      </c>
      <c r="F386" s="191" t="s">
        <v>3</v>
      </c>
      <c r="G386" s="191" t="s">
        <v>155</v>
      </c>
      <c r="H386" s="191"/>
    </row>
    <row r="387" spans="1:8" ht="15" x14ac:dyDescent="0.2">
      <c r="A387" s="190"/>
      <c r="B387" s="191"/>
      <c r="C387" s="191"/>
      <c r="D387" s="191"/>
      <c r="E387" s="191"/>
      <c r="F387" s="191"/>
      <c r="G387" s="97" t="s">
        <v>2</v>
      </c>
      <c r="H387" s="97" t="s">
        <v>3</v>
      </c>
    </row>
    <row r="388" spans="1:8" ht="15" x14ac:dyDescent="0.2">
      <c r="A388" s="98"/>
      <c r="B388" s="66" t="s">
        <v>202</v>
      </c>
      <c r="C388" s="68"/>
      <c r="D388" s="68"/>
      <c r="E388" s="67"/>
      <c r="F388" s="67"/>
      <c r="G388" s="67">
        <f>VLOOKUP(BB!C383,'Master Akun'!A6:E70,4,)</f>
        <v>0</v>
      </c>
      <c r="H388" s="67">
        <f>VLOOKUP(BB!C383,'Master Akun'!A6:E70,5,)</f>
        <v>0</v>
      </c>
    </row>
    <row r="389" spans="1:8" ht="15" x14ac:dyDescent="0.2">
      <c r="A389" s="99"/>
      <c r="B389" s="66" t="s">
        <v>203</v>
      </c>
      <c r="C389" s="68"/>
      <c r="D389" s="68"/>
      <c r="E389" s="67">
        <f ca="1">SUMIF(JU!A7:G117,BB!C383,JU!F7:F117)</f>
        <v>0</v>
      </c>
      <c r="F389" s="67">
        <f ca="1">SUMIF(JU!A7:G117,BB!C383,JU!G7:G117)</f>
        <v>1350000</v>
      </c>
      <c r="G389" s="67">
        <f ca="1">IF(G388+E389&gt;H388+F389,G388+E389-(H388+F389),0)</f>
        <v>0</v>
      </c>
      <c r="H389" s="67">
        <f ca="1">IF(H388+F389&gt;G388+E389,H388+F389-(G388+E389),0)</f>
        <v>1350000</v>
      </c>
    </row>
    <row r="390" spans="1:8" ht="15" x14ac:dyDescent="0.2">
      <c r="A390" s="99"/>
      <c r="B390" s="66"/>
      <c r="C390" s="68"/>
      <c r="D390" s="68"/>
      <c r="E390" s="67"/>
      <c r="F390" s="67"/>
      <c r="G390" s="67"/>
      <c r="H390" s="67"/>
    </row>
    <row r="391" spans="1:8" ht="15" x14ac:dyDescent="0.2">
      <c r="A391" s="101"/>
      <c r="B391" s="101"/>
      <c r="C391" s="101"/>
      <c r="D391" s="101"/>
      <c r="E391" s="101"/>
      <c r="F391" s="101"/>
      <c r="G391" s="101"/>
      <c r="H391" s="101"/>
    </row>
    <row r="392" spans="1:8" ht="15" x14ac:dyDescent="0.2">
      <c r="A392" s="189" t="s">
        <v>152</v>
      </c>
      <c r="B392" s="189"/>
      <c r="C392" s="93">
        <v>91001</v>
      </c>
      <c r="D392" s="94"/>
      <c r="E392" s="94"/>
      <c r="F392" s="94"/>
      <c r="G392" s="94"/>
      <c r="H392" s="94"/>
    </row>
    <row r="393" spans="1:8" ht="15" x14ac:dyDescent="0.2">
      <c r="A393" s="93" t="s">
        <v>153</v>
      </c>
      <c r="B393" s="95"/>
      <c r="C393" s="189" t="str">
        <f>VLOOKUP(C392,'Master Akun'!A6:E70,2,)</f>
        <v>Beban Administrasi Bank</v>
      </c>
      <c r="D393" s="189"/>
      <c r="E393" s="189"/>
      <c r="F393" s="189"/>
      <c r="G393" s="189"/>
      <c r="H393" s="189"/>
    </row>
    <row r="394" spans="1:8" ht="15" x14ac:dyDescent="0.2">
      <c r="A394" s="96"/>
      <c r="B394" s="95"/>
      <c r="C394" s="96"/>
      <c r="D394" s="96"/>
      <c r="E394" s="96"/>
      <c r="F394" s="96"/>
      <c r="G394" s="96"/>
      <c r="H394" s="96"/>
    </row>
    <row r="395" spans="1:8" ht="15" x14ac:dyDescent="0.15">
      <c r="A395" s="190" t="s">
        <v>142</v>
      </c>
      <c r="B395" s="191" t="s">
        <v>154</v>
      </c>
      <c r="C395" s="191" t="s">
        <v>144</v>
      </c>
      <c r="D395" s="191" t="s">
        <v>145</v>
      </c>
      <c r="E395" s="191" t="s">
        <v>2</v>
      </c>
      <c r="F395" s="191" t="s">
        <v>3</v>
      </c>
      <c r="G395" s="191" t="s">
        <v>155</v>
      </c>
      <c r="H395" s="191"/>
    </row>
    <row r="396" spans="1:8" ht="15" x14ac:dyDescent="0.2">
      <c r="A396" s="190"/>
      <c r="B396" s="191"/>
      <c r="C396" s="191"/>
      <c r="D396" s="191"/>
      <c r="E396" s="191"/>
      <c r="F396" s="191"/>
      <c r="G396" s="97" t="s">
        <v>2</v>
      </c>
      <c r="H396" s="97" t="s">
        <v>3</v>
      </c>
    </row>
    <row r="397" spans="1:8" ht="15" x14ac:dyDescent="0.2">
      <c r="A397" s="98"/>
      <c r="B397" s="66" t="s">
        <v>202</v>
      </c>
      <c r="C397" s="68"/>
      <c r="D397" s="68"/>
      <c r="E397" s="67"/>
      <c r="F397" s="67"/>
      <c r="G397" s="67">
        <f>VLOOKUP(BB!C392,'Master Akun'!A6:E70,4,)</f>
        <v>0</v>
      </c>
      <c r="H397" s="67">
        <f>VLOOKUP(BB!C392,'Master Akun'!A6:E70,5,)</f>
        <v>0</v>
      </c>
    </row>
    <row r="398" spans="1:8" ht="15" x14ac:dyDescent="0.2">
      <c r="A398" s="99"/>
      <c r="B398" s="66" t="s">
        <v>203</v>
      </c>
      <c r="C398" s="68"/>
      <c r="D398" s="68"/>
      <c r="E398" s="67">
        <f ca="1">SUMIF(JU!A7:G117,BB!C392,JU!F7:F117)</f>
        <v>150000</v>
      </c>
      <c r="F398" s="67">
        <f ca="1">SUMIF(JU!A7:G117,BB!C392,JU!G7:G117)</f>
        <v>0</v>
      </c>
      <c r="G398" s="67">
        <f ca="1">IF(G397+E398&gt;H397+F398,G397+E398-(H397+F398),0)</f>
        <v>150000</v>
      </c>
      <c r="H398" s="67">
        <f ca="1">IF(H397+F398&gt;G397+E398,H397+F398-(G397+E398),0)</f>
        <v>0</v>
      </c>
    </row>
    <row r="399" spans="1:8" ht="15" x14ac:dyDescent="0.2">
      <c r="A399" s="99"/>
      <c r="B399" s="66"/>
      <c r="C399" s="68"/>
      <c r="D399" s="68"/>
      <c r="E399" s="67"/>
      <c r="F399" s="67"/>
      <c r="G399" s="67"/>
      <c r="H399" s="67"/>
    </row>
    <row r="400" spans="1:8" ht="15" x14ac:dyDescent="0.2">
      <c r="A400" s="101"/>
      <c r="B400" s="101"/>
      <c r="C400" s="101"/>
      <c r="D400" s="101"/>
      <c r="E400" s="101"/>
      <c r="F400" s="101"/>
      <c r="G400" s="101"/>
      <c r="H400" s="101"/>
    </row>
    <row r="401" spans="1:8" ht="15" x14ac:dyDescent="0.2">
      <c r="A401" s="189" t="s">
        <v>152</v>
      </c>
      <c r="B401" s="189"/>
      <c r="C401" s="93">
        <v>91002</v>
      </c>
      <c r="D401" s="94"/>
      <c r="E401" s="94"/>
      <c r="F401" s="94"/>
      <c r="G401" s="94"/>
      <c r="H401" s="94"/>
    </row>
    <row r="402" spans="1:8" ht="15" x14ac:dyDescent="0.2">
      <c r="A402" s="93" t="s">
        <v>153</v>
      </c>
      <c r="B402" s="95"/>
      <c r="C402" s="189" t="str">
        <f>VLOOKUP(C401,'Master Akun'!A6:E70,2,)</f>
        <v>Beban Bunga</v>
      </c>
      <c r="D402" s="189"/>
      <c r="E402" s="189"/>
      <c r="F402" s="189"/>
      <c r="G402" s="189"/>
      <c r="H402" s="189"/>
    </row>
    <row r="403" spans="1:8" ht="15" x14ac:dyDescent="0.2">
      <c r="A403" s="96"/>
      <c r="B403" s="95"/>
      <c r="C403" s="96"/>
      <c r="D403" s="96"/>
      <c r="E403" s="96"/>
      <c r="F403" s="96"/>
      <c r="G403" s="96"/>
      <c r="H403" s="96"/>
    </row>
    <row r="404" spans="1:8" ht="15" x14ac:dyDescent="0.15">
      <c r="A404" s="190" t="s">
        <v>142</v>
      </c>
      <c r="B404" s="191" t="s">
        <v>154</v>
      </c>
      <c r="C404" s="191" t="s">
        <v>144</v>
      </c>
      <c r="D404" s="191" t="s">
        <v>145</v>
      </c>
      <c r="E404" s="191" t="s">
        <v>2</v>
      </c>
      <c r="F404" s="191" t="s">
        <v>3</v>
      </c>
      <c r="G404" s="191" t="s">
        <v>155</v>
      </c>
      <c r="H404" s="191"/>
    </row>
    <row r="405" spans="1:8" ht="15" x14ac:dyDescent="0.2">
      <c r="A405" s="190"/>
      <c r="B405" s="191"/>
      <c r="C405" s="191"/>
      <c r="D405" s="191"/>
      <c r="E405" s="191"/>
      <c r="F405" s="191"/>
      <c r="G405" s="97" t="s">
        <v>2</v>
      </c>
      <c r="H405" s="97" t="s">
        <v>3</v>
      </c>
    </row>
    <row r="406" spans="1:8" ht="15" x14ac:dyDescent="0.2">
      <c r="A406" s="98"/>
      <c r="B406" s="66" t="s">
        <v>202</v>
      </c>
      <c r="C406" s="68"/>
      <c r="D406" s="68"/>
      <c r="E406" s="67"/>
      <c r="F406" s="67"/>
      <c r="G406" s="67">
        <f>VLOOKUP(BB!C401,'Master Akun'!A6:E70,4,)</f>
        <v>0</v>
      </c>
      <c r="H406" s="67">
        <f>VLOOKUP(BB!C401,'Master Akun'!A6:E70,5,)</f>
        <v>0</v>
      </c>
    </row>
    <row r="407" spans="1:8" ht="15" x14ac:dyDescent="0.2">
      <c r="A407" s="99"/>
      <c r="B407" s="66" t="s">
        <v>203</v>
      </c>
      <c r="C407" s="68"/>
      <c r="D407" s="68"/>
      <c r="E407" s="67">
        <f ca="1">SUMIF(JU!A7:G117,BB!C401,JU!F7:F117)</f>
        <v>1500000</v>
      </c>
      <c r="F407" s="67">
        <f ca="1">SUMIF(JU!A7:G117,BB!C401,JU!G7:G117)</f>
        <v>0</v>
      </c>
      <c r="G407" s="67">
        <f ca="1">IF(G406+E407&gt;H406+F407,G406+E407-(H406+F407),0)</f>
        <v>1500000</v>
      </c>
      <c r="H407" s="67">
        <f ca="1">IF(H406+F407&gt;G406+E407,H406+F407-(G406+E407),0)</f>
        <v>0</v>
      </c>
    </row>
    <row r="408" spans="1:8" ht="15" x14ac:dyDescent="0.2">
      <c r="A408" s="99"/>
      <c r="B408" s="66"/>
      <c r="C408" s="68"/>
      <c r="D408" s="68"/>
      <c r="E408" s="67"/>
      <c r="F408" s="67"/>
      <c r="G408" s="67"/>
      <c r="H408" s="67"/>
    </row>
    <row r="409" spans="1:8" ht="15" x14ac:dyDescent="0.2">
      <c r="A409" s="101"/>
      <c r="B409" s="101"/>
      <c r="C409" s="101"/>
      <c r="D409" s="101"/>
      <c r="E409" s="101"/>
      <c r="F409" s="101"/>
      <c r="G409" s="101"/>
      <c r="H409" s="101"/>
    </row>
    <row r="410" spans="1:8" ht="15" x14ac:dyDescent="0.2">
      <c r="A410" s="101"/>
      <c r="B410" s="101"/>
      <c r="C410" s="101"/>
      <c r="D410" s="101"/>
      <c r="E410" s="101"/>
      <c r="F410" s="101"/>
      <c r="G410" s="101"/>
      <c r="H410" s="101"/>
    </row>
    <row r="411" spans="1:8" ht="15" x14ac:dyDescent="0.2">
      <c r="A411" s="101"/>
      <c r="B411" s="101"/>
      <c r="C411" s="101"/>
      <c r="D411" s="101"/>
      <c r="E411" s="101"/>
      <c r="F411" s="101"/>
      <c r="G411" s="101"/>
      <c r="H411" s="101"/>
    </row>
    <row r="412" spans="1:8" ht="15" x14ac:dyDescent="0.2">
      <c r="A412" s="101"/>
      <c r="B412" s="101"/>
      <c r="C412" s="101"/>
      <c r="D412" s="101"/>
      <c r="E412" s="101"/>
      <c r="F412" s="101"/>
      <c r="G412" s="101"/>
      <c r="H412" s="101"/>
    </row>
    <row r="413" spans="1:8" ht="15" x14ac:dyDescent="0.2">
      <c r="A413" s="101"/>
      <c r="B413" s="101"/>
      <c r="C413" s="101"/>
      <c r="D413" s="101"/>
      <c r="E413" s="101"/>
      <c r="F413" s="101"/>
      <c r="G413" s="101"/>
      <c r="H413" s="101"/>
    </row>
    <row r="414" spans="1:8" ht="15" x14ac:dyDescent="0.2">
      <c r="A414" s="101"/>
      <c r="B414" s="101"/>
      <c r="C414" s="101"/>
      <c r="D414" s="101"/>
      <c r="E414" s="101"/>
      <c r="F414" s="101"/>
      <c r="G414" s="101"/>
      <c r="H414" s="101"/>
    </row>
    <row r="415" spans="1:8" ht="15" x14ac:dyDescent="0.2">
      <c r="A415" s="101"/>
      <c r="B415" s="101"/>
      <c r="C415" s="101"/>
      <c r="D415" s="101"/>
      <c r="E415" s="101"/>
      <c r="F415" s="101"/>
      <c r="G415" s="101"/>
      <c r="H415" s="101"/>
    </row>
    <row r="416" spans="1:8" ht="15" x14ac:dyDescent="0.2">
      <c r="A416" s="101"/>
      <c r="B416" s="101"/>
      <c r="C416" s="101"/>
      <c r="D416" s="101"/>
      <c r="E416" s="101"/>
      <c r="F416" s="101"/>
      <c r="G416" s="101"/>
      <c r="H416" s="101"/>
    </row>
    <row r="417" spans="1:8" ht="15" x14ac:dyDescent="0.2">
      <c r="A417" s="101"/>
      <c r="B417" s="101"/>
      <c r="C417" s="101"/>
      <c r="D417" s="101"/>
      <c r="E417" s="101"/>
      <c r="F417" s="101"/>
      <c r="G417" s="101"/>
      <c r="H417" s="101"/>
    </row>
    <row r="418" spans="1:8" ht="15" x14ac:dyDescent="0.2">
      <c r="A418" s="101"/>
      <c r="B418" s="101"/>
      <c r="C418" s="101"/>
      <c r="D418" s="101"/>
      <c r="E418" s="101"/>
      <c r="F418" s="101"/>
      <c r="G418" s="101"/>
      <c r="H418" s="101"/>
    </row>
    <row r="419" spans="1:8" ht="15" x14ac:dyDescent="0.2">
      <c r="A419" s="101"/>
      <c r="B419" s="101"/>
      <c r="C419" s="101"/>
      <c r="D419" s="101"/>
      <c r="E419" s="101"/>
      <c r="F419" s="101"/>
      <c r="G419" s="101"/>
      <c r="H419" s="101"/>
    </row>
    <row r="420" spans="1:8" ht="15" x14ac:dyDescent="0.2">
      <c r="A420" s="101"/>
      <c r="B420" s="101"/>
      <c r="C420" s="101"/>
      <c r="D420" s="101"/>
      <c r="E420" s="101"/>
      <c r="F420" s="101"/>
      <c r="G420" s="101"/>
      <c r="H420" s="101"/>
    </row>
    <row r="421" spans="1:8" ht="15" x14ac:dyDescent="0.2">
      <c r="A421" s="101"/>
      <c r="B421" s="101"/>
      <c r="C421" s="101"/>
      <c r="D421" s="101"/>
      <c r="E421" s="101"/>
      <c r="F421" s="101"/>
      <c r="G421" s="101"/>
      <c r="H421" s="101"/>
    </row>
    <row r="422" spans="1:8" ht="15" x14ac:dyDescent="0.2">
      <c r="A422" s="101"/>
      <c r="B422" s="101"/>
      <c r="C422" s="101"/>
      <c r="D422" s="101"/>
      <c r="E422" s="101"/>
      <c r="F422" s="101"/>
      <c r="G422" s="101"/>
      <c r="H422" s="101"/>
    </row>
    <row r="423" spans="1:8" ht="15" x14ac:dyDescent="0.2">
      <c r="A423" s="101"/>
      <c r="B423" s="101"/>
      <c r="C423" s="101"/>
      <c r="D423" s="101"/>
      <c r="E423" s="101"/>
      <c r="F423" s="101"/>
      <c r="G423" s="101"/>
      <c r="H423" s="101"/>
    </row>
    <row r="424" spans="1:8" ht="15" x14ac:dyDescent="0.2">
      <c r="A424" s="101"/>
      <c r="B424" s="101"/>
      <c r="C424" s="101"/>
      <c r="D424" s="101"/>
      <c r="E424" s="101"/>
      <c r="F424" s="101"/>
      <c r="G424" s="101"/>
      <c r="H424" s="101"/>
    </row>
    <row r="425" spans="1:8" ht="15" x14ac:dyDescent="0.2">
      <c r="A425" s="101"/>
      <c r="B425" s="101"/>
      <c r="C425" s="101"/>
      <c r="D425" s="101"/>
      <c r="E425" s="101"/>
      <c r="F425" s="101"/>
      <c r="G425" s="101"/>
      <c r="H425" s="101"/>
    </row>
    <row r="426" spans="1:8" ht="15" x14ac:dyDescent="0.2">
      <c r="A426" s="101"/>
      <c r="B426" s="101"/>
      <c r="C426" s="101"/>
      <c r="D426" s="101"/>
      <c r="E426" s="101"/>
      <c r="F426" s="101"/>
      <c r="G426" s="101"/>
      <c r="H426" s="101"/>
    </row>
    <row r="427" spans="1:8" ht="15" x14ac:dyDescent="0.2">
      <c r="A427" s="101"/>
      <c r="B427" s="101"/>
      <c r="C427" s="101"/>
      <c r="D427" s="101"/>
      <c r="E427" s="101"/>
      <c r="F427" s="101"/>
      <c r="G427" s="101"/>
      <c r="H427" s="101"/>
    </row>
    <row r="428" spans="1:8" ht="15" x14ac:dyDescent="0.2">
      <c r="A428" s="101"/>
      <c r="B428" s="101"/>
      <c r="C428" s="101"/>
      <c r="D428" s="101"/>
      <c r="E428" s="101"/>
      <c r="F428" s="101"/>
      <c r="G428" s="101"/>
      <c r="H428" s="101"/>
    </row>
    <row r="429" spans="1:8" ht="15" x14ac:dyDescent="0.2">
      <c r="A429" s="101"/>
      <c r="B429" s="101"/>
      <c r="C429" s="101"/>
      <c r="D429" s="101"/>
      <c r="E429" s="101"/>
      <c r="F429" s="101"/>
      <c r="G429" s="101"/>
      <c r="H429" s="101"/>
    </row>
    <row r="430" spans="1:8" ht="15" x14ac:dyDescent="0.2">
      <c r="A430" s="101"/>
      <c r="B430" s="101"/>
      <c r="C430" s="101"/>
      <c r="D430" s="101"/>
      <c r="E430" s="101"/>
      <c r="F430" s="101"/>
      <c r="G430" s="101"/>
      <c r="H430" s="101"/>
    </row>
    <row r="431" spans="1:8" ht="15" x14ac:dyDescent="0.2">
      <c r="A431" s="101"/>
      <c r="B431" s="101"/>
      <c r="C431" s="101"/>
      <c r="D431" s="101"/>
      <c r="E431" s="101"/>
      <c r="F431" s="101"/>
      <c r="G431" s="101"/>
      <c r="H431" s="101"/>
    </row>
    <row r="432" spans="1:8" ht="15" x14ac:dyDescent="0.2">
      <c r="A432" s="101"/>
      <c r="B432" s="101"/>
      <c r="C432" s="101"/>
      <c r="D432" s="101"/>
      <c r="E432" s="101"/>
      <c r="F432" s="101"/>
      <c r="G432" s="101"/>
      <c r="H432" s="101"/>
    </row>
    <row r="433" spans="1:8" ht="15" x14ac:dyDescent="0.2">
      <c r="A433" s="101"/>
      <c r="B433" s="101"/>
      <c r="C433" s="101"/>
      <c r="D433" s="101"/>
      <c r="E433" s="101"/>
      <c r="F433" s="101"/>
      <c r="G433" s="101"/>
      <c r="H433" s="101"/>
    </row>
    <row r="434" spans="1:8" ht="15" x14ac:dyDescent="0.2">
      <c r="A434" s="101"/>
      <c r="B434" s="101"/>
      <c r="C434" s="101"/>
      <c r="D434" s="101"/>
      <c r="E434" s="101"/>
      <c r="F434" s="101"/>
      <c r="G434" s="101"/>
      <c r="H434" s="101"/>
    </row>
    <row r="435" spans="1:8" ht="15" x14ac:dyDescent="0.2">
      <c r="A435" s="101"/>
      <c r="B435" s="101"/>
      <c r="C435" s="101"/>
      <c r="D435" s="101"/>
      <c r="E435" s="101"/>
      <c r="F435" s="101"/>
      <c r="G435" s="101"/>
      <c r="H435" s="101"/>
    </row>
    <row r="436" spans="1:8" ht="15" x14ac:dyDescent="0.2">
      <c r="A436" s="101"/>
      <c r="B436" s="101"/>
      <c r="C436" s="101"/>
      <c r="D436" s="101"/>
      <c r="E436" s="101"/>
      <c r="F436" s="101"/>
      <c r="G436" s="101"/>
      <c r="H436" s="101"/>
    </row>
    <row r="437" spans="1:8" ht="15" x14ac:dyDescent="0.2">
      <c r="A437" s="101"/>
      <c r="B437" s="101"/>
      <c r="C437" s="101"/>
      <c r="D437" s="101"/>
      <c r="E437" s="101"/>
      <c r="F437" s="101"/>
      <c r="G437" s="101"/>
      <c r="H437" s="101"/>
    </row>
    <row r="438" spans="1:8" ht="15" x14ac:dyDescent="0.2">
      <c r="A438" s="101"/>
      <c r="B438" s="101"/>
      <c r="C438" s="101"/>
      <c r="D438" s="101"/>
      <c r="E438" s="101"/>
      <c r="F438" s="101"/>
      <c r="G438" s="101"/>
      <c r="H438" s="101"/>
    </row>
    <row r="439" spans="1:8" ht="15" x14ac:dyDescent="0.2">
      <c r="A439" s="101"/>
      <c r="B439" s="101"/>
      <c r="C439" s="101"/>
      <c r="D439" s="101"/>
      <c r="E439" s="101"/>
      <c r="F439" s="101"/>
      <c r="G439" s="101"/>
      <c r="H439" s="101"/>
    </row>
    <row r="440" spans="1:8" ht="15" x14ac:dyDescent="0.2">
      <c r="A440" s="101"/>
      <c r="B440" s="101"/>
      <c r="C440" s="101"/>
      <c r="D440" s="101"/>
      <c r="E440" s="101"/>
      <c r="F440" s="101"/>
      <c r="G440" s="101"/>
      <c r="H440" s="101"/>
    </row>
    <row r="441" spans="1:8" ht="15" x14ac:dyDescent="0.2">
      <c r="A441" s="101"/>
      <c r="B441" s="101"/>
      <c r="C441" s="101"/>
      <c r="D441" s="101"/>
      <c r="E441" s="101"/>
      <c r="F441" s="101"/>
      <c r="G441" s="101"/>
      <c r="H441" s="101"/>
    </row>
    <row r="442" spans="1:8" ht="15" x14ac:dyDescent="0.2">
      <c r="A442" s="101"/>
      <c r="B442" s="101"/>
      <c r="C442" s="101"/>
      <c r="D442" s="101"/>
      <c r="E442" s="101"/>
      <c r="F442" s="101"/>
      <c r="G442" s="101"/>
      <c r="H442" s="101"/>
    </row>
    <row r="443" spans="1:8" ht="15" x14ac:dyDescent="0.2">
      <c r="A443" s="101"/>
      <c r="B443" s="101"/>
      <c r="C443" s="101"/>
      <c r="D443" s="101"/>
      <c r="E443" s="101"/>
      <c r="F443" s="101"/>
      <c r="G443" s="101"/>
      <c r="H443" s="101"/>
    </row>
    <row r="444" spans="1:8" ht="15" x14ac:dyDescent="0.2">
      <c r="A444" s="101"/>
      <c r="B444" s="101"/>
      <c r="C444" s="101"/>
      <c r="D444" s="101"/>
      <c r="E444" s="101"/>
      <c r="F444" s="101"/>
      <c r="G444" s="101"/>
      <c r="H444" s="101"/>
    </row>
    <row r="445" spans="1:8" ht="15" x14ac:dyDescent="0.2">
      <c r="A445" s="101"/>
      <c r="B445" s="101"/>
      <c r="C445" s="101"/>
      <c r="D445" s="101"/>
      <c r="E445" s="101"/>
      <c r="F445" s="101"/>
      <c r="G445" s="101"/>
      <c r="H445" s="101"/>
    </row>
    <row r="446" spans="1:8" ht="15" x14ac:dyDescent="0.2">
      <c r="A446" s="101"/>
      <c r="B446" s="101"/>
      <c r="C446" s="101"/>
      <c r="D446" s="101"/>
      <c r="E446" s="101"/>
      <c r="F446" s="101"/>
      <c r="G446" s="101"/>
      <c r="H446" s="101"/>
    </row>
    <row r="447" spans="1:8" ht="15" x14ac:dyDescent="0.2">
      <c r="A447" s="101"/>
      <c r="B447" s="101"/>
      <c r="C447" s="101"/>
      <c r="D447" s="101"/>
      <c r="E447" s="101"/>
      <c r="F447" s="101"/>
      <c r="G447" s="101"/>
      <c r="H447" s="101"/>
    </row>
    <row r="448" spans="1:8" ht="15" x14ac:dyDescent="0.2">
      <c r="A448" s="101"/>
      <c r="B448" s="101"/>
      <c r="C448" s="101"/>
      <c r="D448" s="101"/>
      <c r="E448" s="101"/>
      <c r="F448" s="101"/>
      <c r="G448" s="101"/>
      <c r="H448" s="101"/>
    </row>
    <row r="449" spans="1:8" ht="15" x14ac:dyDescent="0.2">
      <c r="A449" s="101"/>
      <c r="B449" s="101"/>
      <c r="C449" s="101"/>
      <c r="D449" s="101"/>
      <c r="E449" s="101"/>
      <c r="F449" s="101"/>
      <c r="G449" s="101"/>
      <c r="H449" s="101"/>
    </row>
    <row r="450" spans="1:8" ht="15" x14ac:dyDescent="0.2">
      <c r="A450" s="101"/>
      <c r="B450" s="101"/>
      <c r="C450" s="101"/>
      <c r="D450" s="101"/>
      <c r="E450" s="101"/>
      <c r="F450" s="101"/>
      <c r="G450" s="101"/>
      <c r="H450" s="101"/>
    </row>
    <row r="451" spans="1:8" ht="15" x14ac:dyDescent="0.2">
      <c r="A451" s="101"/>
      <c r="B451" s="101"/>
      <c r="C451" s="101"/>
      <c r="D451" s="101"/>
      <c r="E451" s="101"/>
      <c r="F451" s="101"/>
      <c r="G451" s="101"/>
      <c r="H451" s="101"/>
    </row>
    <row r="452" spans="1:8" ht="15" x14ac:dyDescent="0.2">
      <c r="A452" s="101"/>
      <c r="B452" s="101"/>
      <c r="C452" s="101"/>
      <c r="D452" s="101"/>
      <c r="E452" s="101"/>
      <c r="F452" s="101"/>
      <c r="G452" s="101"/>
      <c r="H452" s="101"/>
    </row>
    <row r="453" spans="1:8" ht="15" x14ac:dyDescent="0.2">
      <c r="A453" s="101"/>
      <c r="B453" s="101"/>
      <c r="C453" s="101"/>
      <c r="D453" s="101"/>
      <c r="E453" s="101"/>
      <c r="F453" s="101"/>
      <c r="G453" s="101"/>
      <c r="H453" s="101"/>
    </row>
    <row r="454" spans="1:8" ht="15" x14ac:dyDescent="0.2">
      <c r="A454" s="101"/>
      <c r="B454" s="101"/>
      <c r="C454" s="101"/>
      <c r="D454" s="101"/>
      <c r="E454" s="101"/>
      <c r="F454" s="101"/>
      <c r="G454" s="101"/>
      <c r="H454" s="101"/>
    </row>
    <row r="455" spans="1:8" ht="15" x14ac:dyDescent="0.2">
      <c r="A455" s="101"/>
      <c r="B455" s="101"/>
      <c r="C455" s="101"/>
      <c r="D455" s="101"/>
      <c r="E455" s="101"/>
      <c r="F455" s="101"/>
      <c r="G455" s="101"/>
      <c r="H455" s="101"/>
    </row>
    <row r="456" spans="1:8" ht="15" x14ac:dyDescent="0.2">
      <c r="A456" s="101"/>
      <c r="B456" s="101"/>
      <c r="C456" s="101"/>
      <c r="D456" s="101"/>
      <c r="E456" s="101"/>
      <c r="F456" s="101"/>
      <c r="G456" s="101"/>
      <c r="H456" s="101"/>
    </row>
    <row r="457" spans="1:8" ht="15" x14ac:dyDescent="0.2">
      <c r="A457" s="101"/>
      <c r="B457" s="101"/>
      <c r="C457" s="101"/>
      <c r="D457" s="101"/>
      <c r="E457" s="101"/>
      <c r="F457" s="101"/>
      <c r="G457" s="101"/>
      <c r="H457" s="101"/>
    </row>
    <row r="458" spans="1:8" ht="15" x14ac:dyDescent="0.2">
      <c r="A458" s="101"/>
      <c r="B458" s="101"/>
      <c r="C458" s="101"/>
      <c r="D458" s="101"/>
      <c r="E458" s="101"/>
      <c r="F458" s="101"/>
      <c r="G458" s="101"/>
      <c r="H458" s="101"/>
    </row>
    <row r="459" spans="1:8" ht="15" x14ac:dyDescent="0.2">
      <c r="A459" s="101"/>
      <c r="B459" s="101"/>
      <c r="C459" s="101"/>
      <c r="D459" s="101"/>
      <c r="E459" s="101"/>
      <c r="F459" s="101"/>
      <c r="G459" s="101"/>
      <c r="H459" s="101"/>
    </row>
    <row r="460" spans="1:8" ht="15" x14ac:dyDescent="0.2">
      <c r="A460" s="101"/>
      <c r="B460" s="101"/>
      <c r="C460" s="101"/>
      <c r="D460" s="101"/>
      <c r="E460" s="101"/>
      <c r="F460" s="101"/>
      <c r="G460" s="101"/>
      <c r="H460" s="101"/>
    </row>
    <row r="461" spans="1:8" ht="15" x14ac:dyDescent="0.2">
      <c r="A461" s="101"/>
      <c r="B461" s="101"/>
      <c r="C461" s="101"/>
      <c r="D461" s="101"/>
      <c r="E461" s="101"/>
      <c r="F461" s="101"/>
      <c r="G461" s="101"/>
      <c r="H461" s="101"/>
    </row>
    <row r="462" spans="1:8" ht="15" x14ac:dyDescent="0.2">
      <c r="A462" s="101"/>
      <c r="B462" s="101"/>
      <c r="C462" s="101"/>
      <c r="D462" s="101"/>
      <c r="E462" s="101"/>
      <c r="F462" s="101"/>
      <c r="G462" s="101"/>
      <c r="H462" s="101"/>
    </row>
    <row r="463" spans="1:8" ht="15" x14ac:dyDescent="0.2">
      <c r="A463" s="101"/>
      <c r="B463" s="101"/>
      <c r="C463" s="101"/>
      <c r="D463" s="101"/>
      <c r="E463" s="101"/>
      <c r="F463" s="101"/>
      <c r="G463" s="101"/>
      <c r="H463" s="101"/>
    </row>
    <row r="464" spans="1:8" ht="15" x14ac:dyDescent="0.2">
      <c r="A464" s="101"/>
      <c r="B464" s="101"/>
      <c r="C464" s="101"/>
      <c r="D464" s="101"/>
      <c r="E464" s="101"/>
      <c r="F464" s="101"/>
      <c r="G464" s="101"/>
      <c r="H464" s="101"/>
    </row>
    <row r="465" spans="1:8" ht="15" x14ac:dyDescent="0.2">
      <c r="A465" s="101"/>
      <c r="B465" s="101"/>
      <c r="C465" s="101"/>
      <c r="D465" s="101"/>
      <c r="E465" s="101"/>
      <c r="F465" s="101"/>
      <c r="G465" s="101"/>
      <c r="H465" s="101"/>
    </row>
    <row r="466" spans="1:8" ht="15" x14ac:dyDescent="0.2">
      <c r="A466" s="101"/>
      <c r="B466" s="101"/>
      <c r="C466" s="101"/>
      <c r="D466" s="101"/>
      <c r="E466" s="101"/>
      <c r="F466" s="101"/>
      <c r="G466" s="101"/>
      <c r="H466" s="101"/>
    </row>
    <row r="467" spans="1:8" ht="15" x14ac:dyDescent="0.2">
      <c r="A467" s="101"/>
      <c r="B467" s="101"/>
      <c r="C467" s="101"/>
      <c r="D467" s="101"/>
      <c r="E467" s="101"/>
      <c r="F467" s="101"/>
      <c r="G467" s="101"/>
      <c r="H467" s="101"/>
    </row>
    <row r="468" spans="1:8" ht="15" x14ac:dyDescent="0.2">
      <c r="A468" s="101"/>
      <c r="B468" s="101"/>
      <c r="C468" s="101"/>
      <c r="D468" s="101"/>
      <c r="E468" s="101"/>
      <c r="F468" s="101"/>
      <c r="G468" s="101"/>
      <c r="H468" s="101"/>
    </row>
    <row r="469" spans="1:8" ht="15" x14ac:dyDescent="0.2">
      <c r="A469" s="101"/>
      <c r="B469" s="101"/>
      <c r="C469" s="101"/>
      <c r="D469" s="101"/>
      <c r="E469" s="101"/>
      <c r="F469" s="101"/>
      <c r="G469" s="101"/>
      <c r="H469" s="101"/>
    </row>
    <row r="470" spans="1:8" ht="15" x14ac:dyDescent="0.2">
      <c r="A470" s="101"/>
      <c r="B470" s="101"/>
      <c r="C470" s="101"/>
      <c r="D470" s="101"/>
      <c r="E470" s="101"/>
      <c r="F470" s="101"/>
      <c r="G470" s="101"/>
      <c r="H470" s="101"/>
    </row>
    <row r="471" spans="1:8" ht="15" x14ac:dyDescent="0.2">
      <c r="A471" s="101"/>
      <c r="B471" s="101"/>
      <c r="C471" s="101"/>
      <c r="D471" s="101"/>
      <c r="E471" s="101"/>
      <c r="F471" s="101"/>
      <c r="G471" s="101"/>
      <c r="H471" s="101"/>
    </row>
    <row r="472" spans="1:8" ht="15" x14ac:dyDescent="0.2">
      <c r="A472" s="101"/>
      <c r="B472" s="101"/>
      <c r="C472" s="101"/>
      <c r="D472" s="101"/>
      <c r="E472" s="101"/>
      <c r="F472" s="101"/>
      <c r="G472" s="101"/>
      <c r="H472" s="101"/>
    </row>
    <row r="473" spans="1:8" ht="15" x14ac:dyDescent="0.2">
      <c r="A473" s="101"/>
      <c r="B473" s="101"/>
      <c r="C473" s="101"/>
      <c r="D473" s="101"/>
      <c r="E473" s="101"/>
      <c r="F473" s="101"/>
      <c r="G473" s="101"/>
      <c r="H473" s="101"/>
    </row>
    <row r="474" spans="1:8" ht="15" x14ac:dyDescent="0.2">
      <c r="A474" s="101"/>
      <c r="B474" s="101"/>
      <c r="C474" s="101"/>
      <c r="D474" s="101"/>
      <c r="E474" s="101"/>
      <c r="F474" s="101"/>
      <c r="G474" s="101"/>
      <c r="H474" s="101"/>
    </row>
    <row r="475" spans="1:8" ht="15" x14ac:dyDescent="0.2">
      <c r="A475" s="101"/>
      <c r="B475" s="101"/>
      <c r="C475" s="101"/>
      <c r="D475" s="101"/>
      <c r="E475" s="101"/>
      <c r="F475" s="101"/>
      <c r="G475" s="101"/>
      <c r="H475" s="101"/>
    </row>
    <row r="476" spans="1:8" ht="15" x14ac:dyDescent="0.2">
      <c r="A476" s="101"/>
      <c r="B476" s="101"/>
      <c r="C476" s="101"/>
      <c r="D476" s="101"/>
      <c r="E476" s="101"/>
      <c r="F476" s="101"/>
      <c r="G476" s="101"/>
      <c r="H476" s="101"/>
    </row>
    <row r="477" spans="1:8" ht="15" x14ac:dyDescent="0.2">
      <c r="A477" s="101"/>
      <c r="B477" s="101"/>
      <c r="C477" s="101"/>
      <c r="D477" s="101"/>
      <c r="E477" s="101"/>
      <c r="F477" s="101"/>
      <c r="G477" s="101"/>
      <c r="H477" s="101"/>
    </row>
    <row r="478" spans="1:8" ht="15" x14ac:dyDescent="0.2">
      <c r="A478" s="101"/>
      <c r="B478" s="101"/>
      <c r="C478" s="101"/>
      <c r="D478" s="101"/>
      <c r="E478" s="101"/>
      <c r="F478" s="101"/>
      <c r="G478" s="101"/>
      <c r="H478" s="101"/>
    </row>
    <row r="479" spans="1:8" ht="15" x14ac:dyDescent="0.2">
      <c r="A479" s="101"/>
      <c r="B479" s="101"/>
      <c r="C479" s="101"/>
      <c r="D479" s="101"/>
      <c r="E479" s="101"/>
      <c r="F479" s="101"/>
      <c r="G479" s="101"/>
      <c r="H479" s="101"/>
    </row>
    <row r="480" spans="1:8" ht="15" x14ac:dyDescent="0.2">
      <c r="A480" s="101"/>
      <c r="B480" s="101"/>
      <c r="C480" s="101"/>
      <c r="D480" s="101"/>
      <c r="E480" s="101"/>
      <c r="F480" s="101"/>
      <c r="G480" s="101"/>
      <c r="H480" s="101"/>
    </row>
    <row r="481" spans="1:8" ht="15" x14ac:dyDescent="0.2">
      <c r="A481" s="101"/>
      <c r="B481" s="101"/>
      <c r="C481" s="101"/>
      <c r="D481" s="101"/>
      <c r="E481" s="101"/>
      <c r="F481" s="101"/>
      <c r="G481" s="101"/>
      <c r="H481" s="101"/>
    </row>
    <row r="482" spans="1:8" ht="15" x14ac:dyDescent="0.2">
      <c r="A482" s="101"/>
      <c r="B482" s="101"/>
      <c r="C482" s="101"/>
      <c r="D482" s="101"/>
      <c r="E482" s="101"/>
      <c r="F482" s="101"/>
      <c r="G482" s="101"/>
      <c r="H482" s="101"/>
    </row>
    <row r="483" spans="1:8" ht="15" x14ac:dyDescent="0.2">
      <c r="A483" s="101"/>
      <c r="B483" s="101"/>
      <c r="C483" s="101"/>
      <c r="D483" s="101"/>
      <c r="E483" s="101"/>
      <c r="F483" s="101"/>
      <c r="G483" s="101"/>
      <c r="H483" s="101"/>
    </row>
    <row r="484" spans="1:8" ht="15" x14ac:dyDescent="0.2">
      <c r="A484" s="101"/>
      <c r="B484" s="101"/>
      <c r="C484" s="101"/>
      <c r="D484" s="101"/>
      <c r="E484" s="101"/>
      <c r="F484" s="101"/>
      <c r="G484" s="101"/>
      <c r="H484" s="101"/>
    </row>
    <row r="485" spans="1:8" ht="15" x14ac:dyDescent="0.2">
      <c r="A485" s="101"/>
      <c r="B485" s="101"/>
      <c r="C485" s="101"/>
      <c r="D485" s="101"/>
      <c r="E485" s="101"/>
      <c r="F485" s="101"/>
      <c r="G485" s="101"/>
      <c r="H485" s="101"/>
    </row>
    <row r="486" spans="1:8" ht="15" x14ac:dyDescent="0.2">
      <c r="A486" s="101"/>
      <c r="B486" s="101"/>
      <c r="C486" s="101"/>
      <c r="D486" s="101"/>
      <c r="E486" s="101"/>
      <c r="F486" s="101"/>
      <c r="G486" s="101"/>
      <c r="H486" s="101"/>
    </row>
    <row r="487" spans="1:8" ht="15" x14ac:dyDescent="0.2">
      <c r="A487" s="101"/>
      <c r="B487" s="101"/>
      <c r="C487" s="101"/>
      <c r="D487" s="101"/>
      <c r="E487" s="101"/>
      <c r="F487" s="101"/>
      <c r="G487" s="101"/>
      <c r="H487" s="101"/>
    </row>
    <row r="488" spans="1:8" ht="15" x14ac:dyDescent="0.2">
      <c r="A488" s="101"/>
      <c r="B488" s="101"/>
      <c r="C488" s="101"/>
      <c r="D488" s="101"/>
      <c r="E488" s="101"/>
      <c r="F488" s="101"/>
      <c r="G488" s="101"/>
      <c r="H488" s="101"/>
    </row>
    <row r="489" spans="1:8" ht="15" x14ac:dyDescent="0.2">
      <c r="A489" s="101"/>
      <c r="B489" s="101"/>
      <c r="C489" s="101"/>
      <c r="D489" s="101"/>
      <c r="E489" s="101"/>
      <c r="F489" s="101"/>
      <c r="G489" s="101"/>
      <c r="H489" s="101"/>
    </row>
    <row r="490" spans="1:8" ht="15" x14ac:dyDescent="0.2">
      <c r="A490" s="101"/>
      <c r="B490" s="101"/>
      <c r="C490" s="101"/>
      <c r="D490" s="101"/>
      <c r="E490" s="101"/>
      <c r="F490" s="101"/>
      <c r="G490" s="101"/>
      <c r="H490" s="101"/>
    </row>
    <row r="491" spans="1:8" ht="15" x14ac:dyDescent="0.2">
      <c r="A491" s="101"/>
      <c r="B491" s="101"/>
      <c r="C491" s="101"/>
      <c r="D491" s="101"/>
      <c r="E491" s="101"/>
      <c r="F491" s="101"/>
      <c r="G491" s="101"/>
      <c r="H491" s="101"/>
    </row>
    <row r="492" spans="1:8" ht="15" x14ac:dyDescent="0.2">
      <c r="A492" s="101"/>
      <c r="B492" s="101"/>
      <c r="C492" s="101"/>
      <c r="D492" s="101"/>
      <c r="E492" s="101"/>
      <c r="F492" s="101"/>
      <c r="G492" s="101"/>
      <c r="H492" s="101"/>
    </row>
    <row r="493" spans="1:8" ht="15" x14ac:dyDescent="0.2">
      <c r="A493" s="101"/>
      <c r="B493" s="101"/>
      <c r="C493" s="101"/>
      <c r="D493" s="101"/>
      <c r="E493" s="101"/>
      <c r="F493" s="101"/>
      <c r="G493" s="101"/>
      <c r="H493" s="101"/>
    </row>
    <row r="494" spans="1:8" ht="15" x14ac:dyDescent="0.2">
      <c r="A494" s="101"/>
      <c r="B494" s="101"/>
      <c r="C494" s="101"/>
      <c r="D494" s="101"/>
      <c r="E494" s="101"/>
      <c r="F494" s="101"/>
      <c r="G494" s="101"/>
      <c r="H494" s="101"/>
    </row>
    <row r="495" spans="1:8" ht="15" x14ac:dyDescent="0.2">
      <c r="A495" s="101"/>
      <c r="B495" s="101"/>
      <c r="C495" s="101"/>
      <c r="D495" s="101"/>
      <c r="E495" s="101"/>
      <c r="F495" s="101"/>
      <c r="G495" s="101"/>
      <c r="H495" s="101"/>
    </row>
    <row r="496" spans="1:8" ht="15" x14ac:dyDescent="0.2">
      <c r="A496" s="101"/>
      <c r="B496" s="101"/>
      <c r="C496" s="101"/>
      <c r="D496" s="101"/>
      <c r="E496" s="101"/>
      <c r="F496" s="101"/>
      <c r="G496" s="101"/>
      <c r="H496" s="101"/>
    </row>
    <row r="497" spans="1:8" ht="15" x14ac:dyDescent="0.2">
      <c r="A497" s="101"/>
      <c r="B497" s="101"/>
      <c r="C497" s="101"/>
      <c r="D497" s="101"/>
      <c r="E497" s="101"/>
      <c r="F497" s="101"/>
      <c r="G497" s="101"/>
      <c r="H497" s="101"/>
    </row>
    <row r="498" spans="1:8" ht="15" x14ac:dyDescent="0.2">
      <c r="A498" s="101"/>
      <c r="B498" s="101"/>
      <c r="C498" s="101"/>
      <c r="D498" s="101"/>
      <c r="E498" s="101"/>
      <c r="F498" s="101"/>
      <c r="G498" s="101"/>
      <c r="H498" s="101"/>
    </row>
    <row r="499" spans="1:8" ht="15" x14ac:dyDescent="0.2">
      <c r="A499" s="101"/>
      <c r="B499" s="101"/>
      <c r="C499" s="101"/>
      <c r="D499" s="101"/>
      <c r="E499" s="101"/>
      <c r="F499" s="101"/>
      <c r="G499" s="101"/>
      <c r="H499" s="101"/>
    </row>
    <row r="500" spans="1:8" ht="15" x14ac:dyDescent="0.2">
      <c r="A500" s="101"/>
      <c r="B500" s="101"/>
      <c r="C500" s="101"/>
      <c r="D500" s="101"/>
      <c r="E500" s="101"/>
      <c r="F500" s="101"/>
      <c r="G500" s="101"/>
      <c r="H500" s="101"/>
    </row>
    <row r="501" spans="1:8" ht="15" x14ac:dyDescent="0.2">
      <c r="A501" s="101"/>
      <c r="B501" s="101"/>
      <c r="C501" s="101"/>
      <c r="D501" s="101"/>
      <c r="E501" s="101"/>
      <c r="F501" s="101"/>
      <c r="G501" s="101"/>
      <c r="H501" s="101"/>
    </row>
    <row r="502" spans="1:8" ht="15" x14ac:dyDescent="0.2">
      <c r="A502" s="101"/>
      <c r="B502" s="101"/>
      <c r="C502" s="101"/>
      <c r="D502" s="101"/>
      <c r="E502" s="101"/>
      <c r="F502" s="101"/>
      <c r="G502" s="101"/>
      <c r="H502" s="101"/>
    </row>
  </sheetData>
  <mergeCells count="407">
    <mergeCell ref="A401:B401"/>
    <mergeCell ref="C402:H402"/>
    <mergeCell ref="A404:A405"/>
    <mergeCell ref="B404:B405"/>
    <mergeCell ref="C404:C405"/>
    <mergeCell ref="D404:D405"/>
    <mergeCell ref="E404:E405"/>
    <mergeCell ref="F404:F405"/>
    <mergeCell ref="G404:H404"/>
    <mergeCell ref="A392:B392"/>
    <mergeCell ref="C393:H393"/>
    <mergeCell ref="A395:A396"/>
    <mergeCell ref="B395:B396"/>
    <mergeCell ref="C395:C396"/>
    <mergeCell ref="D395:D396"/>
    <mergeCell ref="E395:E396"/>
    <mergeCell ref="F395:F396"/>
    <mergeCell ref="G395:H395"/>
    <mergeCell ref="A383:B383"/>
    <mergeCell ref="C384:H384"/>
    <mergeCell ref="A386:A387"/>
    <mergeCell ref="B386:B387"/>
    <mergeCell ref="C386:C387"/>
    <mergeCell ref="D386:D387"/>
    <mergeCell ref="E386:E387"/>
    <mergeCell ref="F386:F387"/>
    <mergeCell ref="G386:H386"/>
    <mergeCell ref="A374:B374"/>
    <mergeCell ref="C375:H375"/>
    <mergeCell ref="A377:A378"/>
    <mergeCell ref="B377:B378"/>
    <mergeCell ref="C377:C378"/>
    <mergeCell ref="D377:D378"/>
    <mergeCell ref="E377:E378"/>
    <mergeCell ref="F377:F378"/>
    <mergeCell ref="G377:H377"/>
    <mergeCell ref="A365:B365"/>
    <mergeCell ref="C366:H366"/>
    <mergeCell ref="A368:A369"/>
    <mergeCell ref="B368:B369"/>
    <mergeCell ref="C368:C369"/>
    <mergeCell ref="D368:D369"/>
    <mergeCell ref="E368:E369"/>
    <mergeCell ref="F368:F369"/>
    <mergeCell ref="G368:H368"/>
    <mergeCell ref="A356:B356"/>
    <mergeCell ref="C357:H357"/>
    <mergeCell ref="A359:A360"/>
    <mergeCell ref="B359:B360"/>
    <mergeCell ref="C359:C360"/>
    <mergeCell ref="D359:D360"/>
    <mergeCell ref="E359:E360"/>
    <mergeCell ref="F359:F360"/>
    <mergeCell ref="G359:H359"/>
    <mergeCell ref="A347:B347"/>
    <mergeCell ref="C348:H348"/>
    <mergeCell ref="A350:A351"/>
    <mergeCell ref="B350:B351"/>
    <mergeCell ref="C350:C351"/>
    <mergeCell ref="D350:D351"/>
    <mergeCell ref="E350:E351"/>
    <mergeCell ref="F350:F351"/>
    <mergeCell ref="G350:H350"/>
    <mergeCell ref="A338:B338"/>
    <mergeCell ref="C339:H339"/>
    <mergeCell ref="A341:A342"/>
    <mergeCell ref="B341:B342"/>
    <mergeCell ref="C341:C342"/>
    <mergeCell ref="D341:D342"/>
    <mergeCell ref="E341:E342"/>
    <mergeCell ref="F341:F342"/>
    <mergeCell ref="G341:H341"/>
    <mergeCell ref="A329:B329"/>
    <mergeCell ref="C330:H330"/>
    <mergeCell ref="A332:A333"/>
    <mergeCell ref="B332:B333"/>
    <mergeCell ref="C332:C333"/>
    <mergeCell ref="D332:D333"/>
    <mergeCell ref="E332:E333"/>
    <mergeCell ref="F332:F333"/>
    <mergeCell ref="G332:H332"/>
    <mergeCell ref="A320:B320"/>
    <mergeCell ref="C321:H321"/>
    <mergeCell ref="A323:A324"/>
    <mergeCell ref="B323:B324"/>
    <mergeCell ref="C323:C324"/>
    <mergeCell ref="D323:D324"/>
    <mergeCell ref="E323:E324"/>
    <mergeCell ref="F323:F324"/>
    <mergeCell ref="G323:H323"/>
    <mergeCell ref="A311:B311"/>
    <mergeCell ref="C312:H312"/>
    <mergeCell ref="A314:A315"/>
    <mergeCell ref="B314:B315"/>
    <mergeCell ref="C314:C315"/>
    <mergeCell ref="D314:D315"/>
    <mergeCell ref="E314:E315"/>
    <mergeCell ref="F314:F315"/>
    <mergeCell ref="G314:H314"/>
    <mergeCell ref="A302:B302"/>
    <mergeCell ref="C303:H303"/>
    <mergeCell ref="A305:A306"/>
    <mergeCell ref="B305:B306"/>
    <mergeCell ref="C305:C306"/>
    <mergeCell ref="D305:D306"/>
    <mergeCell ref="E305:E306"/>
    <mergeCell ref="F305:F306"/>
    <mergeCell ref="G305:H305"/>
    <mergeCell ref="A194:B194"/>
    <mergeCell ref="C195:H195"/>
    <mergeCell ref="A197:A198"/>
    <mergeCell ref="B197:B198"/>
    <mergeCell ref="C197:C198"/>
    <mergeCell ref="D197:D198"/>
    <mergeCell ref="E197:E198"/>
    <mergeCell ref="F197:F198"/>
    <mergeCell ref="G197:H197"/>
    <mergeCell ref="A185:B185"/>
    <mergeCell ref="C186:H186"/>
    <mergeCell ref="A188:A189"/>
    <mergeCell ref="B188:B189"/>
    <mergeCell ref="C188:C189"/>
    <mergeCell ref="D188:D189"/>
    <mergeCell ref="E188:E189"/>
    <mergeCell ref="F188:F189"/>
    <mergeCell ref="G188:H188"/>
    <mergeCell ref="A176:B176"/>
    <mergeCell ref="C177:H177"/>
    <mergeCell ref="A179:A180"/>
    <mergeCell ref="B179:B180"/>
    <mergeCell ref="C179:C180"/>
    <mergeCell ref="D179:D180"/>
    <mergeCell ref="E179:E180"/>
    <mergeCell ref="F179:F180"/>
    <mergeCell ref="G179:H179"/>
    <mergeCell ref="A167:B167"/>
    <mergeCell ref="C168:H168"/>
    <mergeCell ref="A170:A171"/>
    <mergeCell ref="B170:B171"/>
    <mergeCell ref="C170:C171"/>
    <mergeCell ref="D170:D171"/>
    <mergeCell ref="E170:E171"/>
    <mergeCell ref="F170:F171"/>
    <mergeCell ref="G170:H170"/>
    <mergeCell ref="A158:B158"/>
    <mergeCell ref="C159:H159"/>
    <mergeCell ref="A161:A162"/>
    <mergeCell ref="B161:B162"/>
    <mergeCell ref="C161:C162"/>
    <mergeCell ref="D161:D162"/>
    <mergeCell ref="E161:E162"/>
    <mergeCell ref="F161:F162"/>
    <mergeCell ref="G161:H161"/>
    <mergeCell ref="A149:B149"/>
    <mergeCell ref="C150:H150"/>
    <mergeCell ref="A152:A153"/>
    <mergeCell ref="B152:B153"/>
    <mergeCell ref="C152:C153"/>
    <mergeCell ref="D152:D153"/>
    <mergeCell ref="E152:E153"/>
    <mergeCell ref="F152:F153"/>
    <mergeCell ref="G152:H152"/>
    <mergeCell ref="A140:B140"/>
    <mergeCell ref="C141:H141"/>
    <mergeCell ref="A143:A144"/>
    <mergeCell ref="B143:B144"/>
    <mergeCell ref="C143:C144"/>
    <mergeCell ref="D143:D144"/>
    <mergeCell ref="E143:E144"/>
    <mergeCell ref="F143:F144"/>
    <mergeCell ref="G143:H143"/>
    <mergeCell ref="A131:B131"/>
    <mergeCell ref="C132:H132"/>
    <mergeCell ref="A134:A135"/>
    <mergeCell ref="B134:B135"/>
    <mergeCell ref="C134:C135"/>
    <mergeCell ref="D134:D135"/>
    <mergeCell ref="E134:E135"/>
    <mergeCell ref="F134:F135"/>
    <mergeCell ref="G134:H134"/>
    <mergeCell ref="A122:B122"/>
    <mergeCell ref="C123:H123"/>
    <mergeCell ref="A125:A126"/>
    <mergeCell ref="B125:B126"/>
    <mergeCell ref="C125:C126"/>
    <mergeCell ref="D125:D126"/>
    <mergeCell ref="E125:E126"/>
    <mergeCell ref="F125:F126"/>
    <mergeCell ref="G125:H125"/>
    <mergeCell ref="A113:B113"/>
    <mergeCell ref="C114:H114"/>
    <mergeCell ref="A116:A117"/>
    <mergeCell ref="B116:B117"/>
    <mergeCell ref="C116:C117"/>
    <mergeCell ref="D116:D117"/>
    <mergeCell ref="E116:E117"/>
    <mergeCell ref="F116:F117"/>
    <mergeCell ref="G116:H116"/>
    <mergeCell ref="A104:B104"/>
    <mergeCell ref="C105:H105"/>
    <mergeCell ref="A107:A108"/>
    <mergeCell ref="B107:B108"/>
    <mergeCell ref="C107:C108"/>
    <mergeCell ref="D107:D108"/>
    <mergeCell ref="E107:E108"/>
    <mergeCell ref="F107:F108"/>
    <mergeCell ref="G107:H107"/>
    <mergeCell ref="A95:B95"/>
    <mergeCell ref="C96:H96"/>
    <mergeCell ref="A98:A99"/>
    <mergeCell ref="B98:B99"/>
    <mergeCell ref="C98:C99"/>
    <mergeCell ref="D98:D99"/>
    <mergeCell ref="E98:E99"/>
    <mergeCell ref="F98:F99"/>
    <mergeCell ref="G98:H98"/>
    <mergeCell ref="A86:B86"/>
    <mergeCell ref="C87:H87"/>
    <mergeCell ref="A89:A90"/>
    <mergeCell ref="B89:B90"/>
    <mergeCell ref="C89:C90"/>
    <mergeCell ref="D89:D90"/>
    <mergeCell ref="E89:E90"/>
    <mergeCell ref="F89:F90"/>
    <mergeCell ref="G89:H89"/>
    <mergeCell ref="A77:B77"/>
    <mergeCell ref="C78:H78"/>
    <mergeCell ref="A80:A81"/>
    <mergeCell ref="B80:B81"/>
    <mergeCell ref="C80:C81"/>
    <mergeCell ref="D80:D81"/>
    <mergeCell ref="E80:E81"/>
    <mergeCell ref="F80:F81"/>
    <mergeCell ref="G80:H80"/>
    <mergeCell ref="A68:B68"/>
    <mergeCell ref="C69:H69"/>
    <mergeCell ref="A71:A72"/>
    <mergeCell ref="B71:B72"/>
    <mergeCell ref="C71:C72"/>
    <mergeCell ref="D71:D72"/>
    <mergeCell ref="E71:E72"/>
    <mergeCell ref="F71:F72"/>
    <mergeCell ref="G71:H71"/>
    <mergeCell ref="A59:B59"/>
    <mergeCell ref="C60:H60"/>
    <mergeCell ref="A62:A63"/>
    <mergeCell ref="B62:B63"/>
    <mergeCell ref="C62:C63"/>
    <mergeCell ref="D62:D63"/>
    <mergeCell ref="E62:E63"/>
    <mergeCell ref="F62:F63"/>
    <mergeCell ref="G62:H62"/>
    <mergeCell ref="A50:B50"/>
    <mergeCell ref="C51:H51"/>
    <mergeCell ref="A53:A54"/>
    <mergeCell ref="B53:B54"/>
    <mergeCell ref="C53:C54"/>
    <mergeCell ref="D53:D54"/>
    <mergeCell ref="E53:E54"/>
    <mergeCell ref="F53:F54"/>
    <mergeCell ref="G53:H53"/>
    <mergeCell ref="E35:E36"/>
    <mergeCell ref="F35:F36"/>
    <mergeCell ref="G35:H35"/>
    <mergeCell ref="A41:B41"/>
    <mergeCell ref="C42:H42"/>
    <mergeCell ref="A44:A45"/>
    <mergeCell ref="B44:B45"/>
    <mergeCell ref="C44:C45"/>
    <mergeCell ref="D44:D45"/>
    <mergeCell ref="E44:E45"/>
    <mergeCell ref="F44:F45"/>
    <mergeCell ref="G44:H44"/>
    <mergeCell ref="A3:H3"/>
    <mergeCell ref="A4:H4"/>
    <mergeCell ref="A14:B14"/>
    <mergeCell ref="G8:H8"/>
    <mergeCell ref="A8:A9"/>
    <mergeCell ref="B8:B9"/>
    <mergeCell ref="C8:C9"/>
    <mergeCell ref="D8:D9"/>
    <mergeCell ref="E8:E9"/>
    <mergeCell ref="F8:F9"/>
    <mergeCell ref="A5:B5"/>
    <mergeCell ref="C6:H6"/>
    <mergeCell ref="C15:H15"/>
    <mergeCell ref="A17:A18"/>
    <mergeCell ref="B17:B18"/>
    <mergeCell ref="C17:C18"/>
    <mergeCell ref="D17:D18"/>
    <mergeCell ref="E17:E18"/>
    <mergeCell ref="F17:F18"/>
    <mergeCell ref="G17:H17"/>
    <mergeCell ref="A203:B203"/>
    <mergeCell ref="A23:B23"/>
    <mergeCell ref="C24:H24"/>
    <mergeCell ref="A26:A27"/>
    <mergeCell ref="B26:B27"/>
    <mergeCell ref="C26:C27"/>
    <mergeCell ref="D26:D27"/>
    <mergeCell ref="E26:E27"/>
    <mergeCell ref="F26:F27"/>
    <mergeCell ref="G26:H26"/>
    <mergeCell ref="A32:B32"/>
    <mergeCell ref="C33:H33"/>
    <mergeCell ref="A35:A36"/>
    <mergeCell ref="B35:B36"/>
    <mergeCell ref="C35:C36"/>
    <mergeCell ref="D35:D36"/>
    <mergeCell ref="C204:H204"/>
    <mergeCell ref="A206:A207"/>
    <mergeCell ref="B206:B207"/>
    <mergeCell ref="C206:C207"/>
    <mergeCell ref="D206:D207"/>
    <mergeCell ref="E206:E207"/>
    <mergeCell ref="F206:F207"/>
    <mergeCell ref="G206:H206"/>
    <mergeCell ref="A212:B212"/>
    <mergeCell ref="C213:H213"/>
    <mergeCell ref="A215:A216"/>
    <mergeCell ref="B215:B216"/>
    <mergeCell ref="C215:C216"/>
    <mergeCell ref="D215:D216"/>
    <mergeCell ref="E215:E216"/>
    <mergeCell ref="F215:F216"/>
    <mergeCell ref="G215:H215"/>
    <mergeCell ref="A221:B221"/>
    <mergeCell ref="C222:H222"/>
    <mergeCell ref="A224:A225"/>
    <mergeCell ref="B224:B225"/>
    <mergeCell ref="C224:C225"/>
    <mergeCell ref="D224:D225"/>
    <mergeCell ref="E224:E225"/>
    <mergeCell ref="F224:F225"/>
    <mergeCell ref="G224:H224"/>
    <mergeCell ref="A230:B230"/>
    <mergeCell ref="C231:H231"/>
    <mergeCell ref="A233:A234"/>
    <mergeCell ref="B233:B234"/>
    <mergeCell ref="C233:C234"/>
    <mergeCell ref="D233:D234"/>
    <mergeCell ref="E233:E234"/>
    <mergeCell ref="F233:F234"/>
    <mergeCell ref="G233:H233"/>
    <mergeCell ref="A239:B239"/>
    <mergeCell ref="C240:H240"/>
    <mergeCell ref="A242:A243"/>
    <mergeCell ref="B242:B243"/>
    <mergeCell ref="C242:C243"/>
    <mergeCell ref="D242:D243"/>
    <mergeCell ref="E242:E243"/>
    <mergeCell ref="F242:F243"/>
    <mergeCell ref="G242:H242"/>
    <mergeCell ref="A248:B248"/>
    <mergeCell ref="C249:H249"/>
    <mergeCell ref="A251:A252"/>
    <mergeCell ref="B251:B252"/>
    <mergeCell ref="C251:C252"/>
    <mergeCell ref="D251:D252"/>
    <mergeCell ref="E251:E252"/>
    <mergeCell ref="F251:F252"/>
    <mergeCell ref="G251:H251"/>
    <mergeCell ref="A257:B257"/>
    <mergeCell ref="C258:H258"/>
    <mergeCell ref="A260:A261"/>
    <mergeCell ref="B260:B261"/>
    <mergeCell ref="C260:C261"/>
    <mergeCell ref="D260:D261"/>
    <mergeCell ref="E260:E261"/>
    <mergeCell ref="F260:F261"/>
    <mergeCell ref="G260:H260"/>
    <mergeCell ref="A266:B266"/>
    <mergeCell ref="C267:H267"/>
    <mergeCell ref="A269:A270"/>
    <mergeCell ref="B269:B270"/>
    <mergeCell ref="C269:C270"/>
    <mergeCell ref="D269:D270"/>
    <mergeCell ref="E269:E270"/>
    <mergeCell ref="F269:F270"/>
    <mergeCell ref="G269:H269"/>
    <mergeCell ref="A275:B275"/>
    <mergeCell ref="C276:H276"/>
    <mergeCell ref="A278:A279"/>
    <mergeCell ref="B278:B279"/>
    <mergeCell ref="C278:C279"/>
    <mergeCell ref="D278:D279"/>
    <mergeCell ref="E278:E279"/>
    <mergeCell ref="F278:F279"/>
    <mergeCell ref="G278:H278"/>
    <mergeCell ref="A284:B284"/>
    <mergeCell ref="C294:H294"/>
    <mergeCell ref="A296:A297"/>
    <mergeCell ref="B296:B297"/>
    <mergeCell ref="C296:C297"/>
    <mergeCell ref="D296:D297"/>
    <mergeCell ref="E296:E297"/>
    <mergeCell ref="F296:F297"/>
    <mergeCell ref="G296:H296"/>
    <mergeCell ref="C285:H285"/>
    <mergeCell ref="A287:A288"/>
    <mergeCell ref="B287:B288"/>
    <mergeCell ref="C287:C288"/>
    <mergeCell ref="D287:D288"/>
    <mergeCell ref="E287:E288"/>
    <mergeCell ref="F287:F288"/>
    <mergeCell ref="G287:H287"/>
    <mergeCell ref="A293:B293"/>
  </mergeCell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topLeftCell="D6" workbookViewId="0">
      <selection activeCell="M12" sqref="M12"/>
    </sheetView>
  </sheetViews>
  <sheetFormatPr defaultColWidth="9.14453125" defaultRowHeight="14.25" x14ac:dyDescent="0.15"/>
  <cols>
    <col min="1" max="1" width="9.14453125" style="4"/>
    <col min="2" max="2" width="17.08203125" style="4" customWidth="1"/>
    <col min="3" max="3" width="14.52734375" style="4" customWidth="1"/>
    <col min="4" max="4" width="9.14453125" style="4"/>
    <col min="5" max="8" width="15.73828125" style="12" customWidth="1"/>
    <col min="9" max="9" width="9.14453125" style="4"/>
    <col min="10" max="10" width="10.22265625" style="4" customWidth="1"/>
    <col min="11" max="11" width="28.25" style="4" customWidth="1"/>
    <col min="12" max="12" width="16.140625" style="4" customWidth="1"/>
    <col min="13" max="13" width="9.14453125" style="4"/>
    <col min="14" max="14" width="14.2578125" style="4" bestFit="1" customWidth="1"/>
    <col min="15" max="16384" width="9.14453125" style="4"/>
  </cols>
  <sheetData>
    <row r="1" spans="1:14" x14ac:dyDescent="0.15">
      <c r="A1" s="9"/>
      <c r="B1" s="9"/>
      <c r="C1" s="9"/>
      <c r="D1" s="9"/>
      <c r="E1" s="9"/>
      <c r="F1" s="9"/>
      <c r="G1" s="9"/>
      <c r="H1" s="9"/>
    </row>
    <row r="2" spans="1:14" x14ac:dyDescent="0.15">
      <c r="A2" s="9"/>
      <c r="B2" s="9"/>
      <c r="C2" s="9"/>
      <c r="D2" s="9"/>
      <c r="E2" s="9"/>
      <c r="F2" s="9"/>
      <c r="G2" s="9"/>
      <c r="H2" s="9"/>
    </row>
    <row r="3" spans="1:14" x14ac:dyDescent="0.15">
      <c r="A3" s="196" t="s">
        <v>70</v>
      </c>
      <c r="B3" s="196"/>
      <c r="C3" s="196"/>
      <c r="D3" s="196"/>
      <c r="E3" s="196"/>
      <c r="F3" s="196"/>
      <c r="G3" s="196"/>
      <c r="H3" s="196"/>
    </row>
    <row r="4" spans="1:14" x14ac:dyDescent="0.15">
      <c r="A4" s="196" t="s">
        <v>157</v>
      </c>
      <c r="B4" s="196"/>
      <c r="C4" s="196"/>
      <c r="D4" s="196"/>
      <c r="E4" s="196"/>
      <c r="F4" s="196"/>
      <c r="G4" s="196"/>
      <c r="H4" s="196"/>
    </row>
    <row r="5" spans="1:14" x14ac:dyDescent="0.15">
      <c r="A5" s="199" t="s">
        <v>158</v>
      </c>
      <c r="B5" s="199"/>
      <c r="C5" s="92" t="s">
        <v>110</v>
      </c>
      <c r="D5" s="92"/>
      <c r="E5" s="102"/>
      <c r="F5" s="102"/>
      <c r="G5" s="102"/>
      <c r="H5" s="102"/>
      <c r="J5" s="193" t="s">
        <v>158</v>
      </c>
      <c r="K5" s="194" t="s">
        <v>159</v>
      </c>
      <c r="L5" s="194" t="s">
        <v>204</v>
      </c>
    </row>
    <row r="6" spans="1:14" x14ac:dyDescent="0.15">
      <c r="A6" s="199" t="s">
        <v>159</v>
      </c>
      <c r="B6" s="199"/>
      <c r="C6" s="199" t="str">
        <f>VLOOKUP(C5,'Master Akun'!A93:G97,2,)</f>
        <v>PT. GUNUNG AGUNG</v>
      </c>
      <c r="D6" s="199"/>
      <c r="E6" s="199"/>
      <c r="F6" s="199"/>
      <c r="G6" s="199"/>
      <c r="H6" s="199"/>
      <c r="J6" s="193"/>
      <c r="K6" s="194"/>
      <c r="L6" s="194"/>
    </row>
    <row r="7" spans="1:14" x14ac:dyDescent="0.15">
      <c r="A7" s="91"/>
      <c r="B7" s="91"/>
      <c r="C7" s="91"/>
      <c r="D7" s="91"/>
      <c r="E7" s="103"/>
      <c r="F7" s="103"/>
      <c r="G7" s="103"/>
      <c r="H7" s="103"/>
      <c r="J7" s="2" t="s">
        <v>110</v>
      </c>
      <c r="K7" s="6" t="str">
        <f>C6</f>
        <v>PT. GUNUNG AGUNG</v>
      </c>
      <c r="L7" s="15">
        <f ca="1">G11</f>
        <v>30535000</v>
      </c>
    </row>
    <row r="8" spans="1:14" x14ac:dyDescent="0.15">
      <c r="A8" s="194" t="s">
        <v>142</v>
      </c>
      <c r="B8" s="194" t="s">
        <v>154</v>
      </c>
      <c r="C8" s="194" t="s">
        <v>144</v>
      </c>
      <c r="D8" s="194" t="s">
        <v>145</v>
      </c>
      <c r="E8" s="198" t="s">
        <v>2</v>
      </c>
      <c r="F8" s="198" t="s">
        <v>3</v>
      </c>
      <c r="G8" s="197" t="s">
        <v>155</v>
      </c>
      <c r="H8" s="197"/>
      <c r="J8" s="2" t="s">
        <v>114</v>
      </c>
      <c r="K8" s="6" t="str">
        <f>C15</f>
        <v>TOKO BUKU UTAMA</v>
      </c>
      <c r="L8" s="15">
        <f ca="1">G20</f>
        <v>27500000</v>
      </c>
    </row>
    <row r="9" spans="1:14" x14ac:dyDescent="0.15">
      <c r="A9" s="194"/>
      <c r="B9" s="194"/>
      <c r="C9" s="194"/>
      <c r="D9" s="194"/>
      <c r="E9" s="198"/>
      <c r="F9" s="198"/>
      <c r="G9" s="104" t="s">
        <v>2</v>
      </c>
      <c r="H9" s="104" t="s">
        <v>3</v>
      </c>
      <c r="J9" s="2" t="s">
        <v>117</v>
      </c>
      <c r="K9" s="6" t="str">
        <f>C24</f>
        <v>CV MEBEL ABADI</v>
      </c>
      <c r="L9" s="15">
        <f ca="1">G29</f>
        <v>0</v>
      </c>
    </row>
    <row r="10" spans="1:14" x14ac:dyDescent="0.15">
      <c r="A10" s="7"/>
      <c r="B10" s="6" t="s">
        <v>202</v>
      </c>
      <c r="C10" s="8"/>
      <c r="D10" s="6"/>
      <c r="E10" s="11"/>
      <c r="F10" s="11"/>
      <c r="G10" s="11">
        <f>VLOOKUP(C5,'Master Akun'!A93:G97,4,)</f>
        <v>10000000</v>
      </c>
      <c r="H10" s="11"/>
      <c r="J10" s="2" t="s">
        <v>121</v>
      </c>
      <c r="K10" s="6" t="str">
        <f>C33</f>
        <v>CV SEMBILAN SEMBILAN</v>
      </c>
      <c r="L10" s="15">
        <f ca="1">G38</f>
        <v>0</v>
      </c>
    </row>
    <row r="11" spans="1:14" x14ac:dyDescent="0.15">
      <c r="A11" s="5"/>
      <c r="B11" s="6" t="s">
        <v>203</v>
      </c>
      <c r="C11" s="8"/>
      <c r="D11" s="6"/>
      <c r="E11" s="11">
        <f ca="1">SUMIF(JU!E7:N117,'BB Pembantu Piutang'!C5,JU!F7:F117)</f>
        <v>30535000</v>
      </c>
      <c r="F11" s="11">
        <f ca="1">SUMIF(JU!E7:N117,'BB Pembantu Piutang'!C5,JU!G7:G117)</f>
        <v>10000000</v>
      </c>
      <c r="G11" s="11">
        <f ca="1">G10+E11-F11</f>
        <v>30535000</v>
      </c>
      <c r="H11" s="11"/>
      <c r="J11" s="2" t="s">
        <v>124</v>
      </c>
      <c r="K11" s="6" t="str">
        <f>C42</f>
        <v>PENJUALAN COUNTER</v>
      </c>
      <c r="L11" s="15">
        <f ca="1">G47</f>
        <v>0</v>
      </c>
      <c r="N11" s="4" t="s">
        <v>207</v>
      </c>
    </row>
    <row r="12" spans="1:14" x14ac:dyDescent="0.15">
      <c r="A12" s="5"/>
      <c r="B12" s="6"/>
      <c r="C12" s="8"/>
      <c r="D12" s="6"/>
      <c r="E12" s="11"/>
      <c r="F12" s="11"/>
      <c r="G12" s="11"/>
      <c r="H12" s="11"/>
      <c r="J12" s="195" t="s">
        <v>201</v>
      </c>
      <c r="K12" s="195"/>
      <c r="L12" s="3">
        <f ca="1">SUM(L7:L11)</f>
        <v>58035000</v>
      </c>
      <c r="M12" s="105"/>
      <c r="N12" s="14">
        <f ca="1">L12*5%</f>
        <v>2901750</v>
      </c>
    </row>
    <row r="14" spans="1:14" x14ac:dyDescent="0.15">
      <c r="A14" s="199" t="s">
        <v>158</v>
      </c>
      <c r="B14" s="199"/>
      <c r="C14" s="92" t="s">
        <v>114</v>
      </c>
      <c r="D14" s="92"/>
      <c r="E14" s="102"/>
      <c r="F14" s="102"/>
      <c r="G14" s="102"/>
      <c r="H14" s="102"/>
    </row>
    <row r="15" spans="1:14" x14ac:dyDescent="0.15">
      <c r="A15" s="199" t="s">
        <v>159</v>
      </c>
      <c r="B15" s="199"/>
      <c r="C15" s="199" t="str">
        <f>VLOOKUP(C14,'Master Akun'!A93:G97,2,)</f>
        <v>TOKO BUKU UTAMA</v>
      </c>
      <c r="D15" s="199"/>
      <c r="E15" s="199"/>
      <c r="F15" s="199"/>
      <c r="G15" s="199"/>
      <c r="H15" s="199"/>
    </row>
    <row r="16" spans="1:14" x14ac:dyDescent="0.15">
      <c r="A16" s="91"/>
      <c r="B16" s="91"/>
      <c r="C16" s="91"/>
      <c r="D16" s="91"/>
      <c r="E16" s="103"/>
      <c r="F16" s="103"/>
      <c r="G16" s="103"/>
      <c r="H16" s="103"/>
    </row>
    <row r="17" spans="1:8" x14ac:dyDescent="0.15">
      <c r="A17" s="194" t="s">
        <v>142</v>
      </c>
      <c r="B17" s="194" t="s">
        <v>154</v>
      </c>
      <c r="C17" s="194" t="s">
        <v>144</v>
      </c>
      <c r="D17" s="194" t="s">
        <v>145</v>
      </c>
      <c r="E17" s="198" t="s">
        <v>2</v>
      </c>
      <c r="F17" s="198" t="s">
        <v>3</v>
      </c>
      <c r="G17" s="197" t="s">
        <v>155</v>
      </c>
      <c r="H17" s="197"/>
    </row>
    <row r="18" spans="1:8" x14ac:dyDescent="0.15">
      <c r="A18" s="194"/>
      <c r="B18" s="194"/>
      <c r="C18" s="194"/>
      <c r="D18" s="194"/>
      <c r="E18" s="198"/>
      <c r="F18" s="198"/>
      <c r="G18" s="104" t="s">
        <v>2</v>
      </c>
      <c r="H18" s="104" t="s">
        <v>3</v>
      </c>
    </row>
    <row r="19" spans="1:8" x14ac:dyDescent="0.15">
      <c r="A19" s="7"/>
      <c r="B19" s="6" t="s">
        <v>202</v>
      </c>
      <c r="C19" s="8"/>
      <c r="D19" s="6"/>
      <c r="E19" s="11"/>
      <c r="F19" s="11"/>
      <c r="G19" s="11">
        <f>VLOOKUP(C14,'Master Akun'!A93:G97,4,)</f>
        <v>15000000</v>
      </c>
      <c r="H19" s="11"/>
    </row>
    <row r="20" spans="1:8" x14ac:dyDescent="0.15">
      <c r="A20" s="5"/>
      <c r="B20" s="6" t="s">
        <v>203</v>
      </c>
      <c r="C20" s="8"/>
      <c r="D20" s="6"/>
      <c r="E20" s="11">
        <f ca="1">SUMIF(JU!E7:N117,'BB Pembantu Piutang'!C14,JU!F7:F117)</f>
        <v>29425000</v>
      </c>
      <c r="F20" s="11">
        <f ca="1">SUMIF(JU!E7:N117,'BB Pembantu Piutang'!C14,JU!G7:G117)</f>
        <v>16925000</v>
      </c>
      <c r="G20" s="11">
        <f ca="1">G19+E20-F20</f>
        <v>27500000</v>
      </c>
      <c r="H20" s="11"/>
    </row>
    <row r="21" spans="1:8" x14ac:dyDescent="0.15">
      <c r="A21" s="5"/>
      <c r="B21" s="6"/>
      <c r="C21" s="8"/>
      <c r="D21" s="6"/>
      <c r="E21" s="11"/>
      <c r="F21" s="11"/>
      <c r="G21" s="11"/>
      <c r="H21" s="11"/>
    </row>
    <row r="23" spans="1:8" x14ac:dyDescent="0.15">
      <c r="A23" s="199" t="s">
        <v>158</v>
      </c>
      <c r="B23" s="199"/>
      <c r="C23" s="92" t="s">
        <v>117</v>
      </c>
      <c r="D23" s="92"/>
      <c r="E23" s="102"/>
      <c r="F23" s="102"/>
      <c r="G23" s="102"/>
      <c r="H23" s="102"/>
    </row>
    <row r="24" spans="1:8" x14ac:dyDescent="0.15">
      <c r="A24" s="199" t="s">
        <v>159</v>
      </c>
      <c r="B24" s="199"/>
      <c r="C24" s="199" t="str">
        <f>VLOOKUP(C23,'Master Akun'!A93:G97,2,)</f>
        <v>CV MEBEL ABADI</v>
      </c>
      <c r="D24" s="199"/>
      <c r="E24" s="199"/>
      <c r="F24" s="199"/>
      <c r="G24" s="199"/>
      <c r="H24" s="199"/>
    </row>
    <row r="25" spans="1:8" x14ac:dyDescent="0.15">
      <c r="A25" s="91"/>
      <c r="B25" s="91"/>
      <c r="C25" s="91"/>
      <c r="D25" s="91"/>
      <c r="E25" s="103"/>
      <c r="F25" s="103"/>
      <c r="G25" s="103"/>
      <c r="H25" s="103"/>
    </row>
    <row r="26" spans="1:8" x14ac:dyDescent="0.15">
      <c r="A26" s="194" t="s">
        <v>142</v>
      </c>
      <c r="B26" s="194" t="s">
        <v>154</v>
      </c>
      <c r="C26" s="194" t="s">
        <v>144</v>
      </c>
      <c r="D26" s="194" t="s">
        <v>145</v>
      </c>
      <c r="E26" s="198" t="s">
        <v>2</v>
      </c>
      <c r="F26" s="198" t="s">
        <v>3</v>
      </c>
      <c r="G26" s="197" t="s">
        <v>155</v>
      </c>
      <c r="H26" s="197"/>
    </row>
    <row r="27" spans="1:8" x14ac:dyDescent="0.15">
      <c r="A27" s="194"/>
      <c r="B27" s="194"/>
      <c r="C27" s="194"/>
      <c r="D27" s="194"/>
      <c r="E27" s="198"/>
      <c r="F27" s="198"/>
      <c r="G27" s="104" t="s">
        <v>2</v>
      </c>
      <c r="H27" s="104" t="s">
        <v>3</v>
      </c>
    </row>
    <row r="28" spans="1:8" x14ac:dyDescent="0.15">
      <c r="A28" s="7"/>
      <c r="B28" s="6" t="s">
        <v>202</v>
      </c>
      <c r="C28" s="8"/>
      <c r="D28" s="6"/>
      <c r="E28" s="11"/>
      <c r="F28" s="11"/>
      <c r="G28" s="11">
        <f>VLOOKUP(C23,'Master Akun'!A93:G97,4,)</f>
        <v>7500000</v>
      </c>
      <c r="H28" s="11"/>
    </row>
    <row r="29" spans="1:8" x14ac:dyDescent="0.15">
      <c r="A29" s="5"/>
      <c r="B29" s="6" t="s">
        <v>203</v>
      </c>
      <c r="C29" s="8"/>
      <c r="D29" s="6"/>
      <c r="E29" s="11">
        <f ca="1">SUMIF(JU!E7:N117,'BB Pembantu Piutang'!C23,JU!F7:F117)</f>
        <v>0</v>
      </c>
      <c r="F29" s="11">
        <f ca="1">SUMIF(JU!E7:N117,'BB Pembantu Piutang'!C23,JU!G7:G117)</f>
        <v>7500000</v>
      </c>
      <c r="G29" s="11">
        <f ca="1">G28+E29-F29</f>
        <v>0</v>
      </c>
      <c r="H29" s="11"/>
    </row>
    <row r="30" spans="1:8" x14ac:dyDescent="0.15">
      <c r="A30" s="5"/>
      <c r="B30" s="6"/>
      <c r="C30" s="8"/>
      <c r="D30" s="6"/>
      <c r="E30" s="11"/>
      <c r="F30" s="11"/>
      <c r="G30" s="11"/>
      <c r="H30" s="11"/>
    </row>
    <row r="32" spans="1:8" x14ac:dyDescent="0.15">
      <c r="A32" s="199" t="s">
        <v>158</v>
      </c>
      <c r="B32" s="199"/>
      <c r="C32" s="92" t="s">
        <v>121</v>
      </c>
      <c r="D32" s="92"/>
      <c r="E32" s="102"/>
      <c r="F32" s="102"/>
      <c r="G32" s="102"/>
      <c r="H32" s="102"/>
    </row>
    <row r="33" spans="1:8" x14ac:dyDescent="0.15">
      <c r="A33" s="199" t="s">
        <v>159</v>
      </c>
      <c r="B33" s="199"/>
      <c r="C33" s="199" t="str">
        <f>VLOOKUP(C32,'Master Akun'!A93:G97,2,)</f>
        <v>CV SEMBILAN SEMBILAN</v>
      </c>
      <c r="D33" s="199"/>
      <c r="E33" s="199"/>
      <c r="F33" s="199"/>
      <c r="G33" s="199"/>
      <c r="H33" s="199"/>
    </row>
    <row r="34" spans="1:8" x14ac:dyDescent="0.15">
      <c r="A34" s="91"/>
      <c r="B34" s="91"/>
      <c r="C34" s="91"/>
      <c r="D34" s="91"/>
      <c r="E34" s="103"/>
      <c r="F34" s="103"/>
      <c r="G34" s="103"/>
      <c r="H34" s="103"/>
    </row>
    <row r="35" spans="1:8" x14ac:dyDescent="0.15">
      <c r="A35" s="194" t="s">
        <v>142</v>
      </c>
      <c r="B35" s="194" t="s">
        <v>154</v>
      </c>
      <c r="C35" s="194" t="s">
        <v>144</v>
      </c>
      <c r="D35" s="194" t="s">
        <v>145</v>
      </c>
      <c r="E35" s="198" t="s">
        <v>2</v>
      </c>
      <c r="F35" s="198" t="s">
        <v>3</v>
      </c>
      <c r="G35" s="197" t="s">
        <v>155</v>
      </c>
      <c r="H35" s="197"/>
    </row>
    <row r="36" spans="1:8" x14ac:dyDescent="0.15">
      <c r="A36" s="194"/>
      <c r="B36" s="194"/>
      <c r="C36" s="194"/>
      <c r="D36" s="194"/>
      <c r="E36" s="198"/>
      <c r="F36" s="198"/>
      <c r="G36" s="104" t="s">
        <v>2</v>
      </c>
      <c r="H36" s="104" t="s">
        <v>3</v>
      </c>
    </row>
    <row r="37" spans="1:8" x14ac:dyDescent="0.15">
      <c r="A37" s="7"/>
      <c r="B37" s="6" t="s">
        <v>202</v>
      </c>
      <c r="C37" s="8"/>
      <c r="D37" s="6"/>
      <c r="E37" s="11"/>
      <c r="F37" s="11"/>
      <c r="G37" s="11">
        <f>VLOOKUP(C32,'Master Akun'!A93:G97,4,)</f>
        <v>15000000</v>
      </c>
      <c r="H37" s="11"/>
    </row>
    <row r="38" spans="1:8" x14ac:dyDescent="0.15">
      <c r="A38" s="5"/>
      <c r="B38" s="6" t="s">
        <v>203</v>
      </c>
      <c r="C38" s="8"/>
      <c r="D38" s="6"/>
      <c r="E38" s="11">
        <f ca="1">SUMIF(JU!E7:N117,'BB Pembantu Piutang'!C32,JU!F7:F117)</f>
        <v>0</v>
      </c>
      <c r="F38" s="11">
        <f ca="1">SUMIF(JU!E7:N117,'BB Pembantu Piutang'!C32,JU!G7:G117)</f>
        <v>15000000</v>
      </c>
      <c r="G38" s="11">
        <f ca="1">G37+E38-F38</f>
        <v>0</v>
      </c>
      <c r="H38" s="11"/>
    </row>
    <row r="39" spans="1:8" x14ac:dyDescent="0.15">
      <c r="A39" s="5"/>
      <c r="B39" s="6"/>
      <c r="C39" s="8"/>
      <c r="D39" s="6"/>
      <c r="E39" s="11"/>
      <c r="F39" s="11"/>
      <c r="G39" s="11"/>
      <c r="H39" s="11"/>
    </row>
    <row r="41" spans="1:8" x14ac:dyDescent="0.15">
      <c r="A41" s="199" t="s">
        <v>158</v>
      </c>
      <c r="B41" s="199"/>
      <c r="C41" s="92" t="s">
        <v>124</v>
      </c>
      <c r="D41" s="92"/>
      <c r="E41" s="102"/>
      <c r="F41" s="102"/>
      <c r="G41" s="102"/>
      <c r="H41" s="102"/>
    </row>
    <row r="42" spans="1:8" x14ac:dyDescent="0.15">
      <c r="A42" s="199" t="s">
        <v>159</v>
      </c>
      <c r="B42" s="199"/>
      <c r="C42" s="199" t="str">
        <f>VLOOKUP(C41,'Master Akun'!A93:G97,2,)</f>
        <v>PENJUALAN COUNTER</v>
      </c>
      <c r="D42" s="199"/>
      <c r="E42" s="199"/>
      <c r="F42" s="199"/>
      <c r="G42" s="199"/>
      <c r="H42" s="199"/>
    </row>
    <row r="43" spans="1:8" x14ac:dyDescent="0.15">
      <c r="A43" s="91"/>
      <c r="B43" s="91"/>
      <c r="C43" s="91"/>
      <c r="D43" s="91"/>
      <c r="E43" s="103"/>
      <c r="F43" s="103"/>
      <c r="G43" s="103"/>
      <c r="H43" s="103"/>
    </row>
    <row r="44" spans="1:8" x14ac:dyDescent="0.15">
      <c r="A44" s="194" t="s">
        <v>142</v>
      </c>
      <c r="B44" s="194" t="s">
        <v>154</v>
      </c>
      <c r="C44" s="194" t="s">
        <v>144</v>
      </c>
      <c r="D44" s="194" t="s">
        <v>145</v>
      </c>
      <c r="E44" s="198" t="s">
        <v>2</v>
      </c>
      <c r="F44" s="198" t="s">
        <v>3</v>
      </c>
      <c r="G44" s="197" t="s">
        <v>155</v>
      </c>
      <c r="H44" s="197"/>
    </row>
    <row r="45" spans="1:8" x14ac:dyDescent="0.15">
      <c r="A45" s="194"/>
      <c r="B45" s="194"/>
      <c r="C45" s="194"/>
      <c r="D45" s="194"/>
      <c r="E45" s="198"/>
      <c r="F45" s="198"/>
      <c r="G45" s="104" t="s">
        <v>2</v>
      </c>
      <c r="H45" s="104" t="s">
        <v>3</v>
      </c>
    </row>
    <row r="46" spans="1:8" x14ac:dyDescent="0.15">
      <c r="A46" s="7"/>
      <c r="B46" s="6" t="s">
        <v>202</v>
      </c>
      <c r="C46" s="8"/>
      <c r="D46" s="6"/>
      <c r="E46" s="11"/>
      <c r="F46" s="11"/>
      <c r="G46" s="11">
        <f>VLOOKUP(C41,'Master Akun'!A93:G97,4,)</f>
        <v>0</v>
      </c>
      <c r="H46" s="11"/>
    </row>
    <row r="47" spans="1:8" x14ac:dyDescent="0.15">
      <c r="A47" s="5"/>
      <c r="B47" s="6" t="s">
        <v>203</v>
      </c>
      <c r="C47" s="8"/>
      <c r="D47" s="6"/>
      <c r="E47" s="11">
        <f ca="1">SUMIF(JU!E7:N117,'BB Pembantu Piutang'!C41,JU!F7:F117)</f>
        <v>0</v>
      </c>
      <c r="F47" s="11">
        <f ca="1">SUMIF(JU!E7:N117,'BB Pembantu Piutang'!C41,JU!G7:G117)</f>
        <v>0</v>
      </c>
      <c r="G47" s="11">
        <f ca="1">G46+E47-F47</f>
        <v>0</v>
      </c>
      <c r="H47" s="11"/>
    </row>
    <row r="48" spans="1:8" x14ac:dyDescent="0.15">
      <c r="A48" s="5"/>
      <c r="B48" s="6"/>
      <c r="C48" s="8"/>
      <c r="D48" s="6"/>
      <c r="E48" s="11"/>
      <c r="F48" s="11"/>
      <c r="G48" s="11"/>
      <c r="H48" s="11"/>
    </row>
  </sheetData>
  <mergeCells count="56">
    <mergeCell ref="F44:F45"/>
    <mergeCell ref="G44:H44"/>
    <mergeCell ref="A44:A45"/>
    <mergeCell ref="B44:B45"/>
    <mergeCell ref="C44:C45"/>
    <mergeCell ref="D44:D45"/>
    <mergeCell ref="E44:E45"/>
    <mergeCell ref="F35:F36"/>
    <mergeCell ref="G35:H35"/>
    <mergeCell ref="A41:B41"/>
    <mergeCell ref="A42:B42"/>
    <mergeCell ref="C42:H42"/>
    <mergeCell ref="A35:A36"/>
    <mergeCell ref="B35:B36"/>
    <mergeCell ref="C35:C36"/>
    <mergeCell ref="D35:D36"/>
    <mergeCell ref="E35:E36"/>
    <mergeCell ref="F26:F27"/>
    <mergeCell ref="G26:H26"/>
    <mergeCell ref="A32:B32"/>
    <mergeCell ref="A33:B33"/>
    <mergeCell ref="C33:H33"/>
    <mergeCell ref="A26:A27"/>
    <mergeCell ref="B26:B27"/>
    <mergeCell ref="C26:C27"/>
    <mergeCell ref="D26:D27"/>
    <mergeCell ref="E26:E27"/>
    <mergeCell ref="A23:B23"/>
    <mergeCell ref="A24:B24"/>
    <mergeCell ref="C24:H24"/>
    <mergeCell ref="A17:A18"/>
    <mergeCell ref="B17:B18"/>
    <mergeCell ref="C17:C18"/>
    <mergeCell ref="D17:D18"/>
    <mergeCell ref="E17:E18"/>
    <mergeCell ref="A14:B14"/>
    <mergeCell ref="A15:B15"/>
    <mergeCell ref="C15:H15"/>
    <mergeCell ref="F17:F18"/>
    <mergeCell ref="G17:H17"/>
    <mergeCell ref="J5:J6"/>
    <mergeCell ref="K5:K6"/>
    <mergeCell ref="L5:L6"/>
    <mergeCell ref="J12:K12"/>
    <mergeCell ref="A3:H3"/>
    <mergeCell ref="G8:H8"/>
    <mergeCell ref="A8:A9"/>
    <mergeCell ref="B8:B9"/>
    <mergeCell ref="C8:C9"/>
    <mergeCell ref="D8:D9"/>
    <mergeCell ref="E8:E9"/>
    <mergeCell ref="F8:F9"/>
    <mergeCell ref="A6:B6"/>
    <mergeCell ref="A5:B5"/>
    <mergeCell ref="C6:H6"/>
    <mergeCell ref="A4:H4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6"/>
  <sheetViews>
    <sheetView workbookViewId="0">
      <selection activeCell="J7" sqref="J7"/>
    </sheetView>
  </sheetViews>
  <sheetFormatPr defaultColWidth="9.14453125" defaultRowHeight="14.25" x14ac:dyDescent="0.15"/>
  <cols>
    <col min="1" max="1" width="9.14453125" style="4"/>
    <col min="2" max="2" width="18.5625" style="4" customWidth="1"/>
    <col min="3" max="3" width="14.125" style="4" customWidth="1"/>
    <col min="4" max="4" width="9.14453125" style="4"/>
    <col min="5" max="8" width="15.46875" style="12" customWidth="1"/>
    <col min="9" max="9" width="9.14453125" style="4"/>
    <col min="10" max="10" width="11.8359375" style="4" customWidth="1"/>
    <col min="11" max="11" width="23.9453125" style="4" customWidth="1"/>
    <col min="12" max="12" width="18.0234375" style="4" customWidth="1"/>
    <col min="13" max="16384" width="9.14453125" style="4"/>
  </cols>
  <sheetData>
    <row r="1" spans="1:12" x14ac:dyDescent="0.15">
      <c r="A1" s="9"/>
      <c r="B1" s="9"/>
      <c r="C1" s="9"/>
      <c r="D1" s="9"/>
      <c r="E1" s="9"/>
      <c r="F1" s="9"/>
      <c r="G1" s="9"/>
      <c r="H1" s="9"/>
    </row>
    <row r="2" spans="1:12" x14ac:dyDescent="0.15">
      <c r="A2" s="196"/>
      <c r="B2" s="196"/>
      <c r="C2" s="196"/>
      <c r="D2" s="196"/>
      <c r="E2" s="196"/>
      <c r="F2" s="196"/>
      <c r="G2" s="196"/>
      <c r="H2" s="196"/>
    </row>
    <row r="3" spans="1:12" ht="15" x14ac:dyDescent="0.2">
      <c r="A3" s="202" t="s">
        <v>70</v>
      </c>
      <c r="B3" s="202"/>
      <c r="C3" s="202"/>
      <c r="D3" s="202"/>
      <c r="E3" s="202"/>
      <c r="F3" s="202"/>
      <c r="G3" s="202"/>
      <c r="H3" s="202"/>
      <c r="I3" s="101"/>
      <c r="J3" s="101"/>
      <c r="K3" s="101"/>
      <c r="L3" s="101"/>
    </row>
    <row r="4" spans="1:12" ht="15" x14ac:dyDescent="0.2">
      <c r="A4" s="202" t="s">
        <v>160</v>
      </c>
      <c r="B4" s="202"/>
      <c r="C4" s="202"/>
      <c r="D4" s="202"/>
      <c r="E4" s="202"/>
      <c r="F4" s="202"/>
      <c r="G4" s="202"/>
      <c r="H4" s="202"/>
      <c r="I4" s="101"/>
      <c r="J4" s="101"/>
      <c r="K4" s="101"/>
      <c r="L4" s="101"/>
    </row>
    <row r="5" spans="1:12" ht="31.5" customHeight="1" x14ac:dyDescent="0.2">
      <c r="A5" s="189" t="s">
        <v>161</v>
      </c>
      <c r="B5" s="189"/>
      <c r="C5" s="94" t="s">
        <v>131</v>
      </c>
      <c r="D5" s="94"/>
      <c r="E5" s="106"/>
      <c r="F5" s="106"/>
      <c r="G5" s="106"/>
      <c r="H5" s="106"/>
      <c r="I5" s="101"/>
      <c r="J5" s="107" t="s">
        <v>161</v>
      </c>
      <c r="K5" s="108" t="s">
        <v>205</v>
      </c>
      <c r="L5" s="108" t="s">
        <v>206</v>
      </c>
    </row>
    <row r="6" spans="1:12" ht="15" x14ac:dyDescent="0.2">
      <c r="A6" s="189" t="s">
        <v>162</v>
      </c>
      <c r="B6" s="189"/>
      <c r="C6" s="189" t="str">
        <f>VLOOKUP(C5,'Master Akun'!A103:G105,2,)</f>
        <v>CV USAHA MAJU</v>
      </c>
      <c r="D6" s="189"/>
      <c r="E6" s="189"/>
      <c r="F6" s="189"/>
      <c r="G6" s="189"/>
      <c r="H6" s="189"/>
      <c r="I6" s="101"/>
      <c r="J6" s="109" t="s">
        <v>131</v>
      </c>
      <c r="K6" s="68" t="str">
        <f>C6</f>
        <v>CV USAHA MAJU</v>
      </c>
      <c r="L6" s="48">
        <f ca="1">H11</f>
        <v>17567500</v>
      </c>
    </row>
    <row r="7" spans="1:12" ht="15" x14ac:dyDescent="0.2">
      <c r="A7" s="110"/>
      <c r="B7" s="110"/>
      <c r="C7" s="110"/>
      <c r="D7" s="110"/>
      <c r="E7" s="111"/>
      <c r="F7" s="111"/>
      <c r="G7" s="111"/>
      <c r="H7" s="111"/>
      <c r="I7" s="101"/>
      <c r="J7" s="109" t="s">
        <v>135</v>
      </c>
      <c r="K7" s="68" t="str">
        <f>C15</f>
        <v>PT KARYA BERSAMA</v>
      </c>
      <c r="L7" s="48">
        <f ca="1">H20</f>
        <v>16000000</v>
      </c>
    </row>
    <row r="8" spans="1:12" ht="15" x14ac:dyDescent="0.2">
      <c r="A8" s="191" t="s">
        <v>142</v>
      </c>
      <c r="B8" s="190" t="s">
        <v>154</v>
      </c>
      <c r="C8" s="190" t="s">
        <v>144</v>
      </c>
      <c r="D8" s="190" t="s">
        <v>145</v>
      </c>
      <c r="E8" s="200" t="s">
        <v>2</v>
      </c>
      <c r="F8" s="200" t="s">
        <v>3</v>
      </c>
      <c r="G8" s="201" t="s">
        <v>155</v>
      </c>
      <c r="H8" s="201"/>
      <c r="I8" s="101"/>
      <c r="J8" s="109" t="s">
        <v>138</v>
      </c>
      <c r="K8" s="68" t="str">
        <f>C24</f>
        <v>UD BERSAUDARA</v>
      </c>
      <c r="L8" s="48">
        <f ca="1">H29</f>
        <v>13000000</v>
      </c>
    </row>
    <row r="9" spans="1:12" ht="15" x14ac:dyDescent="0.2">
      <c r="A9" s="191"/>
      <c r="B9" s="190"/>
      <c r="C9" s="190"/>
      <c r="D9" s="190"/>
      <c r="E9" s="200"/>
      <c r="F9" s="200"/>
      <c r="G9" s="112" t="s">
        <v>2</v>
      </c>
      <c r="H9" s="112" t="s">
        <v>3</v>
      </c>
      <c r="I9" s="101"/>
      <c r="J9" s="163" t="s">
        <v>201</v>
      </c>
      <c r="K9" s="163"/>
      <c r="L9" s="48">
        <f ca="1">SUM(L6:L8)</f>
        <v>46567500</v>
      </c>
    </row>
    <row r="10" spans="1:12" ht="15" x14ac:dyDescent="0.2">
      <c r="A10" s="98"/>
      <c r="B10" s="68" t="s">
        <v>202</v>
      </c>
      <c r="C10" s="68"/>
      <c r="D10" s="68"/>
      <c r="E10" s="67"/>
      <c r="F10" s="67"/>
      <c r="G10" s="67"/>
      <c r="H10" s="67">
        <f>VLOOKUP(C5,'Master Akun'!A103:G105,4,)</f>
        <v>24000000</v>
      </c>
      <c r="I10" s="101"/>
      <c r="J10" s="101"/>
      <c r="K10" s="101"/>
      <c r="L10" s="101"/>
    </row>
    <row r="11" spans="1:12" ht="15" x14ac:dyDescent="0.2">
      <c r="A11" s="99"/>
      <c r="B11" s="68" t="s">
        <v>203</v>
      </c>
      <c r="C11" s="68"/>
      <c r="D11" s="68"/>
      <c r="E11" s="67">
        <f ca="1">SUMIF(JU!E7:N117,'BB Pembantu Hutang'!C5,JU!F7:F117)</f>
        <v>24357500</v>
      </c>
      <c r="F11" s="67">
        <f ca="1">SUMIF(JU!E7:N117,'BB Pembantu Hutang'!C5,JU!G7:G117)</f>
        <v>17925000</v>
      </c>
      <c r="G11" s="67"/>
      <c r="H11" s="67">
        <f ca="1">H10+F11-E11</f>
        <v>17567500</v>
      </c>
      <c r="I11" s="101"/>
      <c r="J11" s="101"/>
      <c r="K11" s="101"/>
      <c r="L11" s="101"/>
    </row>
    <row r="12" spans="1:12" ht="15" x14ac:dyDescent="0.2">
      <c r="A12" s="99"/>
      <c r="B12" s="68"/>
      <c r="C12" s="68"/>
      <c r="D12" s="68"/>
      <c r="E12" s="67"/>
      <c r="F12" s="67"/>
      <c r="G12" s="67"/>
      <c r="H12" s="67"/>
      <c r="I12" s="101"/>
      <c r="J12" s="101"/>
      <c r="K12" s="101"/>
      <c r="L12" s="101"/>
    </row>
    <row r="13" spans="1:12" ht="15" x14ac:dyDescent="0.2">
      <c r="A13" s="101"/>
      <c r="B13" s="101"/>
      <c r="C13" s="101"/>
      <c r="D13" s="101"/>
      <c r="E13" s="113"/>
      <c r="F13" s="113"/>
      <c r="G13" s="113"/>
      <c r="H13" s="113"/>
      <c r="I13" s="101"/>
      <c r="J13" s="101"/>
      <c r="K13" s="101"/>
      <c r="L13" s="101"/>
    </row>
    <row r="14" spans="1:12" ht="15" x14ac:dyDescent="0.2">
      <c r="A14" s="189" t="s">
        <v>161</v>
      </c>
      <c r="B14" s="189"/>
      <c r="C14" s="94" t="s">
        <v>135</v>
      </c>
      <c r="D14" s="94"/>
      <c r="E14" s="106"/>
      <c r="F14" s="106"/>
      <c r="G14" s="106"/>
      <c r="H14" s="106"/>
      <c r="I14" s="101"/>
      <c r="J14" s="101"/>
      <c r="K14" s="101"/>
      <c r="L14" s="101"/>
    </row>
    <row r="15" spans="1:12" ht="15" x14ac:dyDescent="0.2">
      <c r="A15" s="189" t="s">
        <v>162</v>
      </c>
      <c r="B15" s="189"/>
      <c r="C15" s="189" t="str">
        <f>VLOOKUP(C14,'Master Akun'!A103:G105,2,)</f>
        <v>PT KARYA BERSAMA</v>
      </c>
      <c r="D15" s="189"/>
      <c r="E15" s="189"/>
      <c r="F15" s="189"/>
      <c r="G15" s="189"/>
      <c r="H15" s="189"/>
      <c r="I15" s="101"/>
      <c r="J15" s="101"/>
      <c r="K15" s="101"/>
      <c r="L15" s="101"/>
    </row>
    <row r="16" spans="1:12" ht="15" x14ac:dyDescent="0.2">
      <c r="A16" s="110"/>
      <c r="B16" s="110"/>
      <c r="C16" s="110"/>
      <c r="D16" s="110"/>
      <c r="E16" s="111"/>
      <c r="F16" s="111"/>
      <c r="G16" s="111"/>
      <c r="H16" s="111"/>
      <c r="I16" s="101"/>
      <c r="J16" s="101"/>
      <c r="K16" s="101"/>
      <c r="L16" s="101"/>
    </row>
    <row r="17" spans="1:12" ht="15" x14ac:dyDescent="0.2">
      <c r="A17" s="191" t="s">
        <v>142</v>
      </c>
      <c r="B17" s="190" t="s">
        <v>154</v>
      </c>
      <c r="C17" s="190" t="s">
        <v>144</v>
      </c>
      <c r="D17" s="190" t="s">
        <v>145</v>
      </c>
      <c r="E17" s="200" t="s">
        <v>2</v>
      </c>
      <c r="F17" s="200" t="s">
        <v>3</v>
      </c>
      <c r="G17" s="201" t="s">
        <v>155</v>
      </c>
      <c r="H17" s="201"/>
      <c r="I17" s="101"/>
      <c r="J17" s="101"/>
      <c r="K17" s="101"/>
      <c r="L17" s="101"/>
    </row>
    <row r="18" spans="1:12" ht="15" x14ac:dyDescent="0.2">
      <c r="A18" s="191"/>
      <c r="B18" s="190"/>
      <c r="C18" s="190"/>
      <c r="D18" s="190"/>
      <c r="E18" s="200"/>
      <c r="F18" s="200"/>
      <c r="G18" s="112" t="s">
        <v>2</v>
      </c>
      <c r="H18" s="112" t="s">
        <v>3</v>
      </c>
      <c r="I18" s="101"/>
      <c r="J18" s="101"/>
      <c r="K18" s="101"/>
      <c r="L18" s="101"/>
    </row>
    <row r="19" spans="1:12" ht="15" x14ac:dyDescent="0.2">
      <c r="A19" s="98"/>
      <c r="B19" s="68" t="s">
        <v>202</v>
      </c>
      <c r="C19" s="68"/>
      <c r="D19" s="68"/>
      <c r="E19" s="67"/>
      <c r="F19" s="67"/>
      <c r="G19" s="67"/>
      <c r="H19" s="67">
        <f>VLOOKUP(C14,'Master Akun'!A103:G105,4,)</f>
        <v>16000000</v>
      </c>
      <c r="I19" s="101"/>
      <c r="J19" s="101"/>
      <c r="K19" s="101"/>
      <c r="L19" s="101"/>
    </row>
    <row r="20" spans="1:12" ht="15" x14ac:dyDescent="0.2">
      <c r="A20" s="99"/>
      <c r="B20" s="68" t="s">
        <v>203</v>
      </c>
      <c r="C20" s="68"/>
      <c r="D20" s="68"/>
      <c r="E20" s="67">
        <f ca="1">SUMIF(JU!E7:N117,'BB Pembantu Hutang'!C14,JU!F7:F117)</f>
        <v>0</v>
      </c>
      <c r="F20" s="67">
        <f ca="1">SUMIF(JU!E7:N117,'BB Pembantu Hutang'!C14,JU!G7:G117)</f>
        <v>0</v>
      </c>
      <c r="G20" s="67"/>
      <c r="H20" s="67">
        <f ca="1">H19-E20+F20</f>
        <v>16000000</v>
      </c>
      <c r="I20" s="101"/>
      <c r="J20" s="101"/>
      <c r="K20" s="101"/>
      <c r="L20" s="101"/>
    </row>
    <row r="21" spans="1:12" ht="15" x14ac:dyDescent="0.2">
      <c r="A21" s="99"/>
      <c r="B21" s="68"/>
      <c r="C21" s="68"/>
      <c r="D21" s="68"/>
      <c r="E21" s="67"/>
      <c r="F21" s="67"/>
      <c r="G21" s="67"/>
      <c r="H21" s="67"/>
      <c r="I21" s="101"/>
      <c r="J21" s="101"/>
      <c r="K21" s="101"/>
      <c r="L21" s="101"/>
    </row>
    <row r="22" spans="1:12" ht="15" x14ac:dyDescent="0.2">
      <c r="A22" s="101"/>
      <c r="B22" s="101"/>
      <c r="C22" s="101"/>
      <c r="D22" s="101"/>
      <c r="E22" s="113"/>
      <c r="F22" s="113"/>
      <c r="G22" s="113"/>
      <c r="H22" s="113"/>
      <c r="I22" s="101"/>
      <c r="J22" s="101"/>
      <c r="K22" s="101"/>
      <c r="L22" s="101"/>
    </row>
    <row r="23" spans="1:12" ht="15" x14ac:dyDescent="0.2">
      <c r="A23" s="189" t="s">
        <v>161</v>
      </c>
      <c r="B23" s="189"/>
      <c r="C23" s="94" t="s">
        <v>138</v>
      </c>
      <c r="D23" s="94"/>
      <c r="E23" s="106"/>
      <c r="F23" s="106"/>
      <c r="G23" s="106"/>
      <c r="H23" s="106"/>
      <c r="I23" s="101"/>
      <c r="J23" s="101"/>
      <c r="K23" s="101"/>
      <c r="L23" s="101"/>
    </row>
    <row r="24" spans="1:12" ht="15" x14ac:dyDescent="0.2">
      <c r="A24" s="189" t="s">
        <v>162</v>
      </c>
      <c r="B24" s="189"/>
      <c r="C24" s="189" t="str">
        <f>VLOOKUP(C23,'Master Akun'!A103:G105,2,)</f>
        <v>UD BERSAUDARA</v>
      </c>
      <c r="D24" s="189"/>
      <c r="E24" s="189"/>
      <c r="F24" s="189"/>
      <c r="G24" s="189"/>
      <c r="H24" s="189"/>
      <c r="I24" s="101"/>
      <c r="J24" s="101"/>
      <c r="K24" s="101"/>
      <c r="L24" s="101"/>
    </row>
    <row r="25" spans="1:12" ht="15" x14ac:dyDescent="0.2">
      <c r="A25" s="110"/>
      <c r="B25" s="110"/>
      <c r="C25" s="110"/>
      <c r="D25" s="110"/>
      <c r="E25" s="111"/>
      <c r="F25" s="111"/>
      <c r="G25" s="111"/>
      <c r="H25" s="111"/>
      <c r="I25" s="101"/>
      <c r="J25" s="101"/>
      <c r="K25" s="101"/>
      <c r="L25" s="101"/>
    </row>
    <row r="26" spans="1:12" ht="15" x14ac:dyDescent="0.2">
      <c r="A26" s="191" t="s">
        <v>142</v>
      </c>
      <c r="B26" s="190" t="s">
        <v>154</v>
      </c>
      <c r="C26" s="190" t="s">
        <v>144</v>
      </c>
      <c r="D26" s="190" t="s">
        <v>145</v>
      </c>
      <c r="E26" s="200" t="s">
        <v>2</v>
      </c>
      <c r="F26" s="200" t="s">
        <v>3</v>
      </c>
      <c r="G26" s="201" t="s">
        <v>155</v>
      </c>
      <c r="H26" s="201"/>
      <c r="I26" s="101"/>
      <c r="J26" s="101"/>
      <c r="K26" s="101"/>
      <c r="L26" s="101"/>
    </row>
    <row r="27" spans="1:12" ht="15" x14ac:dyDescent="0.2">
      <c r="A27" s="191"/>
      <c r="B27" s="190"/>
      <c r="C27" s="190"/>
      <c r="D27" s="190"/>
      <c r="E27" s="200"/>
      <c r="F27" s="200"/>
      <c r="G27" s="112" t="s">
        <v>2</v>
      </c>
      <c r="H27" s="112" t="s">
        <v>3</v>
      </c>
      <c r="I27" s="101"/>
      <c r="J27" s="101"/>
      <c r="K27" s="101"/>
      <c r="L27" s="101"/>
    </row>
    <row r="28" spans="1:12" ht="15" x14ac:dyDescent="0.2">
      <c r="A28" s="98"/>
      <c r="B28" s="68" t="s">
        <v>202</v>
      </c>
      <c r="C28" s="68"/>
      <c r="D28" s="68"/>
      <c r="E28" s="67"/>
      <c r="F28" s="67"/>
      <c r="G28" s="67"/>
      <c r="H28" s="67">
        <f>VLOOKUP(C23,'Master Akun'!A103:G105,4,)</f>
        <v>35000000</v>
      </c>
      <c r="I28" s="101"/>
      <c r="J28" s="101"/>
      <c r="K28" s="101"/>
      <c r="L28" s="101"/>
    </row>
    <row r="29" spans="1:12" ht="15" x14ac:dyDescent="0.2">
      <c r="A29" s="99"/>
      <c r="B29" s="68" t="s">
        <v>203</v>
      </c>
      <c r="C29" s="68"/>
      <c r="D29" s="68"/>
      <c r="E29" s="67">
        <f ca="1">SUMIF(JU!E7:N117,'BB Pembantu Hutang'!C23,JU!F7:F117)</f>
        <v>22000000</v>
      </c>
      <c r="F29" s="67">
        <f ca="1">SUMIF(JU!E7:N117,'BB Pembantu Hutang'!C23,JU!G7:G117)</f>
        <v>0</v>
      </c>
      <c r="G29" s="67"/>
      <c r="H29" s="67">
        <f ca="1">H28-E29+F29</f>
        <v>13000000</v>
      </c>
      <c r="I29" s="101"/>
      <c r="J29" s="101"/>
      <c r="K29" s="101"/>
      <c r="L29" s="101"/>
    </row>
    <row r="30" spans="1:12" ht="15" x14ac:dyDescent="0.2">
      <c r="A30" s="99"/>
      <c r="B30" s="68"/>
      <c r="C30" s="68"/>
      <c r="D30" s="68"/>
      <c r="E30" s="67"/>
      <c r="F30" s="67"/>
      <c r="G30" s="67"/>
      <c r="H30" s="67"/>
      <c r="I30" s="101"/>
      <c r="J30" s="101"/>
      <c r="K30" s="101"/>
      <c r="L30" s="101"/>
    </row>
    <row r="31" spans="1:12" ht="15" x14ac:dyDescent="0.2">
      <c r="A31" s="101"/>
      <c r="B31" s="101"/>
      <c r="C31" s="101"/>
      <c r="D31" s="101"/>
      <c r="E31" s="113"/>
      <c r="F31" s="113"/>
      <c r="G31" s="113"/>
      <c r="H31" s="113"/>
      <c r="I31" s="101"/>
      <c r="J31" s="101"/>
      <c r="K31" s="101"/>
      <c r="L31" s="101"/>
    </row>
    <row r="32" spans="1:12" ht="15" x14ac:dyDescent="0.2">
      <c r="A32" s="101"/>
      <c r="B32" s="101"/>
      <c r="C32" s="101"/>
      <c r="D32" s="101"/>
      <c r="E32" s="113"/>
      <c r="F32" s="113"/>
      <c r="G32" s="113"/>
      <c r="H32" s="113"/>
      <c r="I32" s="101"/>
      <c r="J32" s="101"/>
      <c r="K32" s="101"/>
      <c r="L32" s="101"/>
    </row>
    <row r="33" spans="1:12" ht="15" x14ac:dyDescent="0.2">
      <c r="A33" s="101"/>
      <c r="B33" s="101"/>
      <c r="C33" s="101"/>
      <c r="D33" s="101"/>
      <c r="E33" s="113"/>
      <c r="F33" s="113"/>
      <c r="G33" s="113"/>
      <c r="H33" s="113"/>
      <c r="I33" s="101"/>
      <c r="J33" s="101"/>
      <c r="K33" s="101"/>
      <c r="L33" s="101"/>
    </row>
    <row r="34" spans="1:12" ht="15" x14ac:dyDescent="0.2">
      <c r="A34" s="101"/>
      <c r="B34" s="101"/>
      <c r="C34" s="101"/>
      <c r="D34" s="101"/>
      <c r="E34" s="113"/>
      <c r="F34" s="113"/>
      <c r="G34" s="113"/>
      <c r="H34" s="113"/>
      <c r="I34" s="101"/>
      <c r="J34" s="101"/>
      <c r="K34" s="101"/>
      <c r="L34" s="101"/>
    </row>
    <row r="35" spans="1:12" ht="15" x14ac:dyDescent="0.2">
      <c r="A35" s="101"/>
      <c r="B35" s="101"/>
      <c r="C35" s="101"/>
      <c r="D35" s="101"/>
      <c r="E35" s="113"/>
      <c r="F35" s="113"/>
      <c r="G35" s="113"/>
      <c r="H35" s="113"/>
      <c r="I35" s="101"/>
      <c r="J35" s="101"/>
      <c r="K35" s="101"/>
      <c r="L35" s="101"/>
    </row>
    <row r="36" spans="1:12" ht="15" x14ac:dyDescent="0.2">
      <c r="A36" s="101"/>
      <c r="B36" s="101"/>
      <c r="C36" s="101"/>
      <c r="D36" s="101"/>
      <c r="E36" s="113"/>
      <c r="F36" s="113"/>
      <c r="G36" s="113"/>
      <c r="H36" s="113"/>
      <c r="I36" s="101"/>
      <c r="J36" s="101"/>
      <c r="K36" s="101"/>
      <c r="L36" s="101"/>
    </row>
    <row r="37" spans="1:12" ht="15" x14ac:dyDescent="0.2">
      <c r="A37" s="101"/>
      <c r="B37" s="101"/>
      <c r="C37" s="101"/>
      <c r="D37" s="101"/>
      <c r="E37" s="113"/>
      <c r="F37" s="113"/>
      <c r="G37" s="113"/>
      <c r="H37" s="113"/>
      <c r="I37" s="101"/>
      <c r="J37" s="101"/>
      <c r="K37" s="101"/>
      <c r="L37" s="101"/>
    </row>
    <row r="38" spans="1:12" ht="15" x14ac:dyDescent="0.2">
      <c r="A38" s="101"/>
      <c r="B38" s="101"/>
      <c r="C38" s="101"/>
      <c r="D38" s="101"/>
      <c r="E38" s="113"/>
      <c r="F38" s="113"/>
      <c r="G38" s="113"/>
      <c r="H38" s="113"/>
      <c r="I38" s="101"/>
      <c r="J38" s="101"/>
      <c r="K38" s="101"/>
      <c r="L38" s="101"/>
    </row>
    <row r="39" spans="1:12" ht="15" x14ac:dyDescent="0.2">
      <c r="A39" s="101"/>
      <c r="B39" s="101"/>
      <c r="C39" s="101"/>
      <c r="D39" s="101"/>
      <c r="E39" s="113"/>
      <c r="F39" s="113"/>
      <c r="G39" s="113"/>
      <c r="H39" s="113"/>
      <c r="I39" s="101"/>
      <c r="J39" s="101"/>
      <c r="K39" s="101"/>
      <c r="L39" s="101"/>
    </row>
    <row r="40" spans="1:12" ht="15" x14ac:dyDescent="0.2">
      <c r="A40" s="101"/>
      <c r="B40" s="101"/>
      <c r="C40" s="101"/>
      <c r="D40" s="101"/>
      <c r="E40" s="113"/>
      <c r="F40" s="113"/>
      <c r="G40" s="113"/>
      <c r="H40" s="113"/>
      <c r="I40" s="101"/>
      <c r="J40" s="101"/>
      <c r="K40" s="101"/>
      <c r="L40" s="101"/>
    </row>
    <row r="41" spans="1:12" ht="15" x14ac:dyDescent="0.2">
      <c r="A41" s="101"/>
      <c r="B41" s="101"/>
      <c r="C41" s="101"/>
      <c r="D41" s="101"/>
      <c r="E41" s="113"/>
      <c r="F41" s="113"/>
      <c r="G41" s="113"/>
      <c r="H41" s="113"/>
      <c r="I41" s="101"/>
      <c r="J41" s="101"/>
      <c r="K41" s="101"/>
      <c r="L41" s="101"/>
    </row>
    <row r="42" spans="1:12" ht="15" x14ac:dyDescent="0.2">
      <c r="A42" s="101"/>
      <c r="B42" s="101"/>
      <c r="C42" s="101"/>
      <c r="D42" s="101"/>
      <c r="E42" s="113"/>
      <c r="F42" s="113"/>
      <c r="G42" s="113"/>
      <c r="H42" s="113"/>
      <c r="I42" s="101"/>
      <c r="J42" s="101"/>
      <c r="K42" s="101"/>
      <c r="L42" s="101"/>
    </row>
    <row r="43" spans="1:12" ht="15" x14ac:dyDescent="0.2">
      <c r="A43" s="101"/>
      <c r="B43" s="101"/>
      <c r="C43" s="101"/>
      <c r="D43" s="101"/>
      <c r="E43" s="113"/>
      <c r="F43" s="113"/>
      <c r="G43" s="113"/>
      <c r="H43" s="113"/>
      <c r="I43" s="101"/>
      <c r="J43" s="101"/>
      <c r="K43" s="101"/>
      <c r="L43" s="101"/>
    </row>
    <row r="44" spans="1:12" ht="15" x14ac:dyDescent="0.2">
      <c r="A44" s="101"/>
      <c r="B44" s="101"/>
      <c r="C44" s="101"/>
      <c r="D44" s="101"/>
      <c r="E44" s="113"/>
      <c r="F44" s="113"/>
      <c r="G44" s="113"/>
      <c r="H44" s="113"/>
      <c r="I44" s="101"/>
      <c r="J44" s="101"/>
      <c r="K44" s="101"/>
      <c r="L44" s="101"/>
    </row>
    <row r="45" spans="1:12" ht="15" x14ac:dyDescent="0.2">
      <c r="A45" s="101"/>
      <c r="B45" s="101"/>
      <c r="C45" s="101"/>
      <c r="D45" s="101"/>
      <c r="E45" s="113"/>
      <c r="F45" s="113"/>
      <c r="G45" s="113"/>
      <c r="H45" s="113"/>
      <c r="I45" s="101"/>
      <c r="J45" s="101"/>
      <c r="K45" s="101"/>
      <c r="L45" s="101"/>
    </row>
    <row r="46" spans="1:12" ht="15" x14ac:dyDescent="0.2">
      <c r="A46" s="101"/>
      <c r="B46" s="101"/>
      <c r="C46" s="101"/>
      <c r="D46" s="101"/>
      <c r="E46" s="113"/>
      <c r="F46" s="113"/>
      <c r="G46" s="113"/>
      <c r="H46" s="113"/>
      <c r="I46" s="101"/>
      <c r="J46" s="101"/>
      <c r="K46" s="101"/>
      <c r="L46" s="101"/>
    </row>
  </sheetData>
  <mergeCells count="34">
    <mergeCell ref="A23:B23"/>
    <mergeCell ref="A24:B24"/>
    <mergeCell ref="C24:H24"/>
    <mergeCell ref="A26:A27"/>
    <mergeCell ref="B26:B27"/>
    <mergeCell ref="C26:C27"/>
    <mergeCell ref="D26:D27"/>
    <mergeCell ref="E26:E27"/>
    <mergeCell ref="F26:F27"/>
    <mergeCell ref="G26:H26"/>
    <mergeCell ref="A14:B14"/>
    <mergeCell ref="A15:B15"/>
    <mergeCell ref="C15:H15"/>
    <mergeCell ref="A17:A18"/>
    <mergeCell ref="B17:B18"/>
    <mergeCell ref="C17:C18"/>
    <mergeCell ref="D17:D18"/>
    <mergeCell ref="E17:E18"/>
    <mergeCell ref="F17:F18"/>
    <mergeCell ref="G17:H17"/>
    <mergeCell ref="A2:H2"/>
    <mergeCell ref="A3:H3"/>
    <mergeCell ref="A5:B5"/>
    <mergeCell ref="A6:B6"/>
    <mergeCell ref="C6:H6"/>
    <mergeCell ref="A4:H4"/>
    <mergeCell ref="J9:K9"/>
    <mergeCell ref="A8:A9"/>
    <mergeCell ref="B8:B9"/>
    <mergeCell ref="C8:C9"/>
    <mergeCell ref="D8:D9"/>
    <mergeCell ref="E8:E9"/>
    <mergeCell ref="F8:F9"/>
    <mergeCell ref="G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6"/>
  <sheetViews>
    <sheetView topLeftCell="E1" workbookViewId="0">
      <selection activeCell="N4" sqref="N4:Q14"/>
    </sheetView>
  </sheetViews>
  <sheetFormatPr defaultColWidth="9.14453125" defaultRowHeight="14.25" x14ac:dyDescent="0.15"/>
  <cols>
    <col min="1" max="1" width="9.14453125" style="4"/>
    <col min="2" max="2" width="17.08203125" style="4" customWidth="1"/>
    <col min="3" max="3" width="16.54296875" style="4" customWidth="1"/>
    <col min="4" max="4" width="9.14453125" style="4"/>
    <col min="5" max="5" width="14.2578125" style="4" bestFit="1" customWidth="1"/>
    <col min="6" max="6" width="15.46875" style="4" bestFit="1" customWidth="1"/>
    <col min="7" max="7" width="9.14453125" style="4"/>
    <col min="8" max="8" width="14.2578125" style="4" bestFit="1" customWidth="1"/>
    <col min="9" max="9" width="15.46875" style="4" bestFit="1" customWidth="1"/>
    <col min="10" max="10" width="9.14453125" style="4"/>
    <col min="11" max="11" width="15.6015625" style="12" customWidth="1"/>
    <col min="12" max="12" width="17.75390625" style="12" customWidth="1"/>
    <col min="13" max="13" width="9.14453125" style="4"/>
    <col min="14" max="14" width="13.44921875" style="4" customWidth="1"/>
    <col min="15" max="15" width="20.984375" style="4" customWidth="1"/>
    <col min="16" max="16" width="19.50390625" style="4" customWidth="1"/>
    <col min="17" max="16384" width="9.14453125" style="4"/>
  </cols>
  <sheetData>
    <row r="1" spans="1:17" ht="15" x14ac:dyDescent="0.2">
      <c r="A1" s="202" t="s">
        <v>70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7" ht="15" x14ac:dyDescent="0.2">
      <c r="A2" s="202" t="s">
        <v>163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7" ht="15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</row>
    <row r="4" spans="1:17" ht="30" x14ac:dyDescent="0.2">
      <c r="A4" s="189" t="s">
        <v>146</v>
      </c>
      <c r="B4" s="189"/>
      <c r="C4" s="94" t="s">
        <v>81</v>
      </c>
      <c r="D4" s="95"/>
      <c r="E4" s="94"/>
      <c r="F4" s="94"/>
      <c r="G4" s="95"/>
      <c r="H4" s="94"/>
      <c r="I4" s="94"/>
      <c r="J4" s="95"/>
      <c r="K4" s="106"/>
      <c r="L4" s="106"/>
      <c r="N4" s="107" t="s">
        <v>146</v>
      </c>
      <c r="O4" s="108" t="s">
        <v>164</v>
      </c>
      <c r="P4" s="108" t="s">
        <v>208</v>
      </c>
      <c r="Q4" s="101"/>
    </row>
    <row r="5" spans="1:17" ht="15" x14ac:dyDescent="0.2">
      <c r="A5" s="189" t="s">
        <v>164</v>
      </c>
      <c r="B5" s="189"/>
      <c r="C5" s="189" t="str">
        <f>VLOOKUP(C4,'Master Akun'!A76:H87,2,)</f>
        <v>QUEEN C405</v>
      </c>
      <c r="D5" s="189"/>
      <c r="E5" s="189"/>
      <c r="F5" s="189"/>
      <c r="G5" s="189"/>
      <c r="H5" s="189"/>
      <c r="I5" s="189"/>
      <c r="J5" s="189"/>
      <c r="K5" s="189"/>
      <c r="L5" s="189"/>
      <c r="N5" s="33" t="s">
        <v>81</v>
      </c>
      <c r="O5" s="68" t="str">
        <f>C5</f>
        <v>QUEEN C405</v>
      </c>
      <c r="P5" s="48">
        <f ca="1">L10</f>
        <v>8400000</v>
      </c>
      <c r="Q5" s="101"/>
    </row>
    <row r="6" spans="1:17" ht="15" x14ac:dyDescent="0.2">
      <c r="A6" s="121"/>
      <c r="B6" s="121"/>
      <c r="C6" s="110"/>
      <c r="D6" s="121"/>
      <c r="E6" s="110"/>
      <c r="F6" s="110"/>
      <c r="G6" s="121"/>
      <c r="H6" s="110"/>
      <c r="I6" s="110"/>
      <c r="J6" s="121"/>
      <c r="K6" s="111"/>
      <c r="L6" s="111"/>
      <c r="N6" s="33" t="s">
        <v>83</v>
      </c>
      <c r="O6" s="68" t="str">
        <f>C14</f>
        <v>QUEEN C605</v>
      </c>
      <c r="P6" s="48">
        <f ca="1">L19</f>
        <v>4875000</v>
      </c>
      <c r="Q6" s="101"/>
    </row>
    <row r="7" spans="1:17" ht="15" x14ac:dyDescent="0.2">
      <c r="A7" s="203" t="s">
        <v>142</v>
      </c>
      <c r="B7" s="191" t="s">
        <v>154</v>
      </c>
      <c r="C7" s="191" t="s">
        <v>144</v>
      </c>
      <c r="D7" s="205" t="s">
        <v>147</v>
      </c>
      <c r="E7" s="206"/>
      <c r="F7" s="207"/>
      <c r="G7" s="205" t="s">
        <v>148</v>
      </c>
      <c r="H7" s="206"/>
      <c r="I7" s="207"/>
      <c r="J7" s="205" t="s">
        <v>155</v>
      </c>
      <c r="K7" s="206"/>
      <c r="L7" s="207"/>
      <c r="N7" s="33" t="s">
        <v>85</v>
      </c>
      <c r="O7" s="68" t="str">
        <f>C23</f>
        <v>STONES C109</v>
      </c>
      <c r="P7" s="48">
        <f ca="1">L28</f>
        <v>11200000</v>
      </c>
      <c r="Q7" s="101"/>
    </row>
    <row r="8" spans="1:17" ht="15" x14ac:dyDescent="0.2">
      <c r="A8" s="204"/>
      <c r="B8" s="191"/>
      <c r="C8" s="191"/>
      <c r="D8" s="97" t="s">
        <v>149</v>
      </c>
      <c r="E8" s="97" t="s">
        <v>150</v>
      </c>
      <c r="F8" s="97" t="s">
        <v>80</v>
      </c>
      <c r="G8" s="97" t="s">
        <v>149</v>
      </c>
      <c r="H8" s="97" t="s">
        <v>150</v>
      </c>
      <c r="I8" s="97" t="s">
        <v>80</v>
      </c>
      <c r="J8" s="97" t="s">
        <v>149</v>
      </c>
      <c r="K8" s="112" t="s">
        <v>150</v>
      </c>
      <c r="L8" s="112" t="s">
        <v>80</v>
      </c>
      <c r="N8" s="33" t="s">
        <v>87</v>
      </c>
      <c r="O8" s="68" t="str">
        <f>C32</f>
        <v>STONES C303</v>
      </c>
      <c r="P8" s="48">
        <f>L37</f>
        <v>18000000</v>
      </c>
      <c r="Q8" s="101"/>
    </row>
    <row r="9" spans="1:17" ht="15" x14ac:dyDescent="0.2">
      <c r="A9" s="98"/>
      <c r="B9" s="66" t="s">
        <v>202</v>
      </c>
      <c r="C9" s="68"/>
      <c r="D9" s="33"/>
      <c r="E9" s="68"/>
      <c r="F9" s="68"/>
      <c r="G9" s="33"/>
      <c r="H9" s="68"/>
      <c r="I9" s="68"/>
      <c r="J9" s="33">
        <f>VLOOKUP(C4,'Master Akun'!A76:H87,6,)</f>
        <v>15</v>
      </c>
      <c r="K9" s="67">
        <f>VLOOKUP(C4,'Master Akun'!A76:H87,4,)</f>
        <v>1200000</v>
      </c>
      <c r="L9" s="67">
        <f>K9*J9</f>
        <v>18000000</v>
      </c>
      <c r="N9" s="33" t="s">
        <v>89</v>
      </c>
      <c r="O9" s="68" t="str">
        <f>C41</f>
        <v>EBIET D708</v>
      </c>
      <c r="P9" s="48">
        <f ca="1">L46</f>
        <v>11400000</v>
      </c>
      <c r="Q9" s="101"/>
    </row>
    <row r="10" spans="1:17" ht="15" x14ac:dyDescent="0.2">
      <c r="A10" s="114"/>
      <c r="B10" s="73" t="s">
        <v>203</v>
      </c>
      <c r="C10" s="68"/>
      <c r="D10" s="33">
        <f ca="1">SUMIF(JU!H7:N117,'BB Pembantu Persediaan'!C4,JU!I7:I117)</f>
        <v>10</v>
      </c>
      <c r="E10" s="67">
        <f ca="1">F10/D10</f>
        <v>1200000</v>
      </c>
      <c r="F10" s="48">
        <f ca="1">SUMIF(JU!H7:N117,'BB Pembantu Persediaan'!C4,JU!K7:K117)</f>
        <v>12000000</v>
      </c>
      <c r="G10" s="33">
        <f ca="1">SUMIF(JU!H7:N117,'BB Pembantu Persediaan'!C4,JU!L7:L117)</f>
        <v>18</v>
      </c>
      <c r="H10" s="115">
        <f ca="1">I10/G10</f>
        <v>1200000</v>
      </c>
      <c r="I10" s="67">
        <f ca="1">SUMIF(JU!H7:N117,'BB Pembantu Persediaan'!C4,JU!N7:N117)</f>
        <v>21600000</v>
      </c>
      <c r="J10" s="33">
        <f ca="1">J9+D10-G10</f>
        <v>7</v>
      </c>
      <c r="K10" s="67">
        <f ca="1">L10/J10</f>
        <v>1200000</v>
      </c>
      <c r="L10" s="67">
        <f ca="1">L9+F10-I10</f>
        <v>8400000</v>
      </c>
      <c r="N10" s="33" t="s">
        <v>91</v>
      </c>
      <c r="O10" s="68" t="str">
        <f>C50</f>
        <v>EBIET D908</v>
      </c>
      <c r="P10" s="48">
        <f ca="1">L55</f>
        <v>3540000</v>
      </c>
      <c r="Q10" s="101"/>
    </row>
    <row r="11" spans="1:17" ht="15" x14ac:dyDescent="0.2">
      <c r="A11" s="33"/>
      <c r="B11" s="33"/>
      <c r="C11" s="68"/>
      <c r="D11" s="33"/>
      <c r="E11" s="68"/>
      <c r="F11" s="68"/>
      <c r="G11" s="33"/>
      <c r="H11" s="68"/>
      <c r="I11" s="68"/>
      <c r="J11" s="33"/>
      <c r="K11" s="67"/>
      <c r="L11" s="67"/>
      <c r="N11" s="33" t="s">
        <v>93</v>
      </c>
      <c r="O11" s="68" t="str">
        <f>C59</f>
        <v>TAMERLAND L1</v>
      </c>
      <c r="P11" s="48">
        <f ca="1">L64</f>
        <v>3900000</v>
      </c>
      <c r="Q11" s="101"/>
    </row>
    <row r="12" spans="1:17" ht="15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13"/>
      <c r="L12" s="113"/>
      <c r="N12" s="33" t="s">
        <v>95</v>
      </c>
      <c r="O12" s="68" t="str">
        <f>C68</f>
        <v>TAMERLAND L2</v>
      </c>
      <c r="P12" s="48">
        <f ca="1">L73</f>
        <v>1750000</v>
      </c>
      <c r="Q12" s="101"/>
    </row>
    <row r="13" spans="1:17" ht="15" x14ac:dyDescent="0.2">
      <c r="A13" s="189" t="s">
        <v>146</v>
      </c>
      <c r="B13" s="189"/>
      <c r="C13" s="94" t="s">
        <v>83</v>
      </c>
      <c r="D13" s="95"/>
      <c r="E13" s="94"/>
      <c r="F13" s="94"/>
      <c r="G13" s="95"/>
      <c r="H13" s="94"/>
      <c r="I13" s="94"/>
      <c r="J13" s="95"/>
      <c r="K13" s="106"/>
      <c r="L13" s="106"/>
      <c r="N13" s="33" t="s">
        <v>97</v>
      </c>
      <c r="O13" s="68" t="str">
        <f>C77</f>
        <v>TAMERLAND L3</v>
      </c>
      <c r="P13" s="48">
        <f ca="1">L82</f>
        <v>8400000</v>
      </c>
      <c r="Q13" s="101"/>
    </row>
    <row r="14" spans="1:17" ht="15" x14ac:dyDescent="0.2">
      <c r="A14" s="189" t="s">
        <v>164</v>
      </c>
      <c r="B14" s="189"/>
      <c r="C14" s="189" t="str">
        <f>VLOOKUP(C13,'Master Akun'!A76:H87,2,)</f>
        <v>QUEEN C605</v>
      </c>
      <c r="D14" s="189"/>
      <c r="E14" s="189"/>
      <c r="F14" s="189"/>
      <c r="G14" s="189"/>
      <c r="H14" s="189"/>
      <c r="I14" s="189"/>
      <c r="J14" s="189"/>
      <c r="K14" s="189"/>
      <c r="L14" s="189"/>
      <c r="N14" s="163" t="s">
        <v>201</v>
      </c>
      <c r="O14" s="163"/>
      <c r="P14" s="48">
        <f ca="1">SUM(P5:P13)</f>
        <v>71465000</v>
      </c>
      <c r="Q14" s="101"/>
    </row>
    <row r="15" spans="1:17" ht="15" x14ac:dyDescent="0.2">
      <c r="A15" s="121"/>
      <c r="B15" s="121"/>
      <c r="C15" s="110"/>
      <c r="D15" s="121"/>
      <c r="E15" s="110"/>
      <c r="F15" s="110"/>
      <c r="G15" s="121"/>
      <c r="H15" s="110"/>
      <c r="I15" s="110"/>
      <c r="J15" s="121"/>
      <c r="K15" s="111"/>
      <c r="L15" s="111"/>
    </row>
    <row r="16" spans="1:17" ht="15" x14ac:dyDescent="0.2">
      <c r="A16" s="203" t="s">
        <v>142</v>
      </c>
      <c r="B16" s="191" t="s">
        <v>154</v>
      </c>
      <c r="C16" s="191" t="s">
        <v>144</v>
      </c>
      <c r="D16" s="205" t="s">
        <v>147</v>
      </c>
      <c r="E16" s="206"/>
      <c r="F16" s="207"/>
      <c r="G16" s="205" t="s">
        <v>148</v>
      </c>
      <c r="H16" s="206"/>
      <c r="I16" s="207"/>
      <c r="J16" s="205" t="s">
        <v>155</v>
      </c>
      <c r="K16" s="206"/>
      <c r="L16" s="207"/>
    </row>
    <row r="17" spans="1:12" ht="15" x14ac:dyDescent="0.2">
      <c r="A17" s="204"/>
      <c r="B17" s="191"/>
      <c r="C17" s="191"/>
      <c r="D17" s="97" t="s">
        <v>149</v>
      </c>
      <c r="E17" s="97" t="s">
        <v>150</v>
      </c>
      <c r="F17" s="97" t="s">
        <v>80</v>
      </c>
      <c r="G17" s="97" t="s">
        <v>149</v>
      </c>
      <c r="H17" s="97" t="s">
        <v>150</v>
      </c>
      <c r="I17" s="97" t="s">
        <v>80</v>
      </c>
      <c r="J17" s="97" t="s">
        <v>149</v>
      </c>
      <c r="K17" s="112" t="s">
        <v>150</v>
      </c>
      <c r="L17" s="112" t="s">
        <v>80</v>
      </c>
    </row>
    <row r="18" spans="1:12" ht="15" x14ac:dyDescent="0.2">
      <c r="A18" s="98"/>
      <c r="B18" s="66" t="s">
        <v>202</v>
      </c>
      <c r="C18" s="68"/>
      <c r="D18" s="33"/>
      <c r="E18" s="68"/>
      <c r="F18" s="68"/>
      <c r="G18" s="33"/>
      <c r="H18" s="68"/>
      <c r="I18" s="68"/>
      <c r="J18" s="33">
        <f>VLOOKUP(C13,'Master Akun'!A76:H87,6,)</f>
        <v>50</v>
      </c>
      <c r="K18" s="67">
        <f>VLOOKUP(C13,'Master Akun'!A76:H87,4,)</f>
        <v>325000</v>
      </c>
      <c r="L18" s="67">
        <f>K18*J18</f>
        <v>16250000</v>
      </c>
    </row>
    <row r="19" spans="1:12" ht="15" x14ac:dyDescent="0.2">
      <c r="A19" s="114"/>
      <c r="B19" s="73" t="s">
        <v>203</v>
      </c>
      <c r="C19" s="68"/>
      <c r="D19" s="33">
        <f ca="1">SUMIF(JU!H7:N117,'BB Pembantu Persediaan'!C13,JU!I7:I117)</f>
        <v>29</v>
      </c>
      <c r="E19" s="48">
        <f ca="1">F19/D19</f>
        <v>325000</v>
      </c>
      <c r="F19" s="67">
        <f ca="1">SUMIF(JU!H7:N117,'BB Pembantu Persediaan'!C13,JU!K7:K117)</f>
        <v>9425000</v>
      </c>
      <c r="G19" s="33">
        <f ca="1">SUMIF(JU!H7:N117,'BB Pembantu Persediaan'!C13,JU!L7:L117)</f>
        <v>64</v>
      </c>
      <c r="H19" s="115">
        <f ca="1">I19/G19</f>
        <v>325000</v>
      </c>
      <c r="I19" s="67">
        <f ca="1">SUMIF(JU!H7:N117,'BB Pembantu Persediaan'!C13,JU!N7:N117)</f>
        <v>20800000</v>
      </c>
      <c r="J19" s="33">
        <f ca="1">J18+D19-G19</f>
        <v>15</v>
      </c>
      <c r="K19" s="67">
        <f ca="1">L19/J19</f>
        <v>325000</v>
      </c>
      <c r="L19" s="67">
        <f ca="1">L18+F19-I19</f>
        <v>4875000</v>
      </c>
    </row>
    <row r="20" spans="1:12" ht="15" x14ac:dyDescent="0.2">
      <c r="A20" s="33"/>
      <c r="B20" s="33"/>
      <c r="C20" s="68"/>
      <c r="D20" s="33"/>
      <c r="E20" s="68"/>
      <c r="F20" s="68"/>
      <c r="G20" s="33"/>
      <c r="H20" s="68"/>
      <c r="I20" s="68"/>
      <c r="J20" s="33"/>
      <c r="K20" s="67"/>
      <c r="L20" s="67"/>
    </row>
    <row r="21" spans="1:12" ht="15" x14ac:dyDescent="0.2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13"/>
      <c r="L21" s="113"/>
    </row>
    <row r="22" spans="1:12" ht="15" x14ac:dyDescent="0.2">
      <c r="A22" s="189" t="s">
        <v>146</v>
      </c>
      <c r="B22" s="189"/>
      <c r="C22" s="94" t="s">
        <v>85</v>
      </c>
      <c r="D22" s="95"/>
      <c r="E22" s="94"/>
      <c r="F22" s="94"/>
      <c r="G22" s="95"/>
      <c r="H22" s="94"/>
      <c r="I22" s="94"/>
      <c r="J22" s="95"/>
      <c r="K22" s="106"/>
      <c r="L22" s="106"/>
    </row>
    <row r="23" spans="1:12" ht="15" x14ac:dyDescent="0.2">
      <c r="A23" s="189" t="s">
        <v>164</v>
      </c>
      <c r="B23" s="189"/>
      <c r="C23" s="189" t="str">
        <f>VLOOKUP(C22,'Master Akun'!A76:H87,2,)</f>
        <v>STONES C109</v>
      </c>
      <c r="D23" s="189"/>
      <c r="E23" s="189"/>
      <c r="F23" s="189"/>
      <c r="G23" s="189"/>
      <c r="H23" s="189"/>
      <c r="I23" s="189"/>
      <c r="J23" s="189"/>
      <c r="K23" s="189"/>
      <c r="L23" s="189"/>
    </row>
    <row r="24" spans="1:12" ht="15" x14ac:dyDescent="0.2">
      <c r="A24" s="121"/>
      <c r="B24" s="121"/>
      <c r="C24" s="110"/>
      <c r="D24" s="121"/>
      <c r="E24" s="110"/>
      <c r="F24" s="110"/>
      <c r="G24" s="121"/>
      <c r="H24" s="110"/>
      <c r="I24" s="110"/>
      <c r="J24" s="121"/>
      <c r="K24" s="111"/>
      <c r="L24" s="111"/>
    </row>
    <row r="25" spans="1:12" ht="15" x14ac:dyDescent="0.2">
      <c r="A25" s="203" t="s">
        <v>142</v>
      </c>
      <c r="B25" s="191" t="s">
        <v>154</v>
      </c>
      <c r="C25" s="191" t="s">
        <v>144</v>
      </c>
      <c r="D25" s="205" t="s">
        <v>147</v>
      </c>
      <c r="E25" s="206"/>
      <c r="F25" s="207"/>
      <c r="G25" s="205" t="s">
        <v>148</v>
      </c>
      <c r="H25" s="206"/>
      <c r="I25" s="207"/>
      <c r="J25" s="205" t="s">
        <v>155</v>
      </c>
      <c r="K25" s="206"/>
      <c r="L25" s="207"/>
    </row>
    <row r="26" spans="1:12" ht="15" x14ac:dyDescent="0.2">
      <c r="A26" s="204"/>
      <c r="B26" s="191"/>
      <c r="C26" s="191"/>
      <c r="D26" s="97" t="s">
        <v>149</v>
      </c>
      <c r="E26" s="97" t="s">
        <v>150</v>
      </c>
      <c r="F26" s="97" t="s">
        <v>80</v>
      </c>
      <c r="G26" s="97" t="s">
        <v>149</v>
      </c>
      <c r="H26" s="97" t="s">
        <v>150</v>
      </c>
      <c r="I26" s="97" t="s">
        <v>80</v>
      </c>
      <c r="J26" s="97" t="s">
        <v>149</v>
      </c>
      <c r="K26" s="112" t="s">
        <v>150</v>
      </c>
      <c r="L26" s="112" t="s">
        <v>80</v>
      </c>
    </row>
    <row r="27" spans="1:12" ht="15" x14ac:dyDescent="0.2">
      <c r="A27" s="98"/>
      <c r="B27" s="66" t="s">
        <v>202</v>
      </c>
      <c r="C27" s="68"/>
      <c r="D27" s="33"/>
      <c r="E27" s="68"/>
      <c r="F27" s="68"/>
      <c r="G27" s="33"/>
      <c r="H27" s="68"/>
      <c r="I27" s="68"/>
      <c r="J27" s="33">
        <f>VLOOKUP(C22,'Master Akun'!A76:H87,6,)</f>
        <v>20</v>
      </c>
      <c r="K27" s="67">
        <f>VLOOKUP(C22,'Master Akun'!A76:H87,4,)</f>
        <v>1400000</v>
      </c>
      <c r="L27" s="67">
        <f>K27*J27</f>
        <v>28000000</v>
      </c>
    </row>
    <row r="28" spans="1:12" ht="15" x14ac:dyDescent="0.2">
      <c r="A28" s="114"/>
      <c r="B28" s="73" t="s">
        <v>203</v>
      </c>
      <c r="C28" s="68"/>
      <c r="D28" s="33">
        <f ca="1">SUMIF(JU!H7:N117,'BB Pembantu Persediaan'!C22,JU!I7:I117)</f>
        <v>0</v>
      </c>
      <c r="E28" s="116" t="e">
        <f ca="1">F28/D28</f>
        <v>#DIV/0!</v>
      </c>
      <c r="F28" s="67">
        <f ca="1">SUMIF(JU!H7:N117,'BB Pembantu Persediaan'!C22,JU!K7:K117)</f>
        <v>0</v>
      </c>
      <c r="G28" s="33">
        <f ca="1">SUMIF(JU!H7:N117,'BB Pembantu Persediaan'!C22,JU!L7:L117)</f>
        <v>12</v>
      </c>
      <c r="H28" s="115">
        <f ca="1">I28/G28</f>
        <v>1400000</v>
      </c>
      <c r="I28" s="67">
        <f ca="1">SUMIF(JU!H7:N117,'BB Pembantu Persediaan'!C22,JU!N7:N117)</f>
        <v>16800000</v>
      </c>
      <c r="J28" s="33">
        <f ca="1">J27+D28-G28</f>
        <v>8</v>
      </c>
      <c r="K28" s="67">
        <f ca="1">L28/J28</f>
        <v>1400000</v>
      </c>
      <c r="L28" s="67">
        <f ca="1">L27+F28-I28</f>
        <v>11200000</v>
      </c>
    </row>
    <row r="29" spans="1:12" ht="15" x14ac:dyDescent="0.2">
      <c r="A29" s="33"/>
      <c r="B29" s="33"/>
      <c r="C29" s="68"/>
      <c r="D29" s="33"/>
      <c r="E29" s="68"/>
      <c r="F29" s="68"/>
      <c r="G29" s="33"/>
      <c r="H29" s="68"/>
      <c r="I29" s="68"/>
      <c r="J29" s="33"/>
      <c r="K29" s="67"/>
      <c r="L29" s="67"/>
    </row>
    <row r="30" spans="1:12" ht="15" x14ac:dyDescent="0.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13"/>
      <c r="L30" s="113"/>
    </row>
    <row r="31" spans="1:12" ht="15" x14ac:dyDescent="0.2">
      <c r="A31" s="189" t="s">
        <v>146</v>
      </c>
      <c r="B31" s="189"/>
      <c r="C31" s="94" t="s">
        <v>87</v>
      </c>
      <c r="D31" s="95"/>
      <c r="E31" s="94"/>
      <c r="F31" s="94"/>
      <c r="G31" s="95"/>
      <c r="H31" s="94"/>
      <c r="I31" s="94"/>
      <c r="J31" s="95"/>
      <c r="K31" s="106"/>
      <c r="L31" s="106"/>
    </row>
    <row r="32" spans="1:12" ht="15" x14ac:dyDescent="0.2">
      <c r="A32" s="189" t="s">
        <v>164</v>
      </c>
      <c r="B32" s="189"/>
      <c r="C32" s="189" t="str">
        <f>VLOOKUP(C31,'Master Akun'!A76:H87,2,)</f>
        <v>STONES C303</v>
      </c>
      <c r="D32" s="189"/>
      <c r="E32" s="189"/>
      <c r="F32" s="189"/>
      <c r="G32" s="189"/>
      <c r="H32" s="189"/>
      <c r="I32" s="189"/>
      <c r="J32" s="189"/>
      <c r="K32" s="189"/>
      <c r="L32" s="189"/>
    </row>
    <row r="33" spans="1:12" ht="15" x14ac:dyDescent="0.2">
      <c r="A33" s="121"/>
      <c r="B33" s="121"/>
      <c r="C33" s="110"/>
      <c r="D33" s="121"/>
      <c r="E33" s="110"/>
      <c r="F33" s="110"/>
      <c r="G33" s="121"/>
      <c r="H33" s="110"/>
      <c r="I33" s="110"/>
      <c r="J33" s="121"/>
      <c r="K33" s="111"/>
      <c r="L33" s="111"/>
    </row>
    <row r="34" spans="1:12" ht="15" x14ac:dyDescent="0.2">
      <c r="A34" s="203" t="s">
        <v>142</v>
      </c>
      <c r="B34" s="191" t="s">
        <v>154</v>
      </c>
      <c r="C34" s="191" t="s">
        <v>144</v>
      </c>
      <c r="D34" s="205" t="s">
        <v>147</v>
      </c>
      <c r="E34" s="206"/>
      <c r="F34" s="207"/>
      <c r="G34" s="205" t="s">
        <v>148</v>
      </c>
      <c r="H34" s="206"/>
      <c r="I34" s="207"/>
      <c r="J34" s="205" t="s">
        <v>155</v>
      </c>
      <c r="K34" s="206"/>
      <c r="L34" s="207"/>
    </row>
    <row r="35" spans="1:12" ht="15" x14ac:dyDescent="0.2">
      <c r="A35" s="204"/>
      <c r="B35" s="191"/>
      <c r="C35" s="191"/>
      <c r="D35" s="97" t="s">
        <v>149</v>
      </c>
      <c r="E35" s="97" t="s">
        <v>150</v>
      </c>
      <c r="F35" s="97" t="s">
        <v>80</v>
      </c>
      <c r="G35" s="97" t="s">
        <v>149</v>
      </c>
      <c r="H35" s="97" t="s">
        <v>150</v>
      </c>
      <c r="I35" s="97" t="s">
        <v>80</v>
      </c>
      <c r="J35" s="97" t="s">
        <v>149</v>
      </c>
      <c r="K35" s="112" t="s">
        <v>150</v>
      </c>
      <c r="L35" s="112" t="s">
        <v>80</v>
      </c>
    </row>
    <row r="36" spans="1:12" ht="15" x14ac:dyDescent="0.2">
      <c r="A36" s="98"/>
      <c r="B36" s="66" t="s">
        <v>202</v>
      </c>
      <c r="C36" s="68"/>
      <c r="D36" s="33"/>
      <c r="E36" s="68"/>
      <c r="F36" s="68"/>
      <c r="G36" s="33"/>
      <c r="H36" s="68"/>
      <c r="I36" s="68"/>
      <c r="J36" s="33">
        <f>VLOOKUP(C31,'Master Akun'!A76:H87,6,)</f>
        <v>15</v>
      </c>
      <c r="K36" s="67">
        <f>VLOOKUP(C31,'Master Akun'!A76:H87,4,)</f>
        <v>1200000</v>
      </c>
      <c r="L36" s="67">
        <f>K36*J36</f>
        <v>18000000</v>
      </c>
    </row>
    <row r="37" spans="1:12" ht="15" x14ac:dyDescent="0.2">
      <c r="A37" s="114"/>
      <c r="B37" s="73" t="s">
        <v>203</v>
      </c>
      <c r="C37" s="68"/>
      <c r="D37" s="33">
        <f ca="1">SUMIF(JU!H7:N117,'BB Pembantu Persediaan'!C31,JU!I7:I117)</f>
        <v>0</v>
      </c>
      <c r="E37" s="117" t="e">
        <f ca="1">F37/D37</f>
        <v>#DIV/0!</v>
      </c>
      <c r="F37" s="67">
        <f ca="1">SUMIF(JU!H7:N117,'BB Pembantu Persediaan'!C31,JU!K7:K117)</f>
        <v>0</v>
      </c>
      <c r="G37" s="33">
        <f ca="1">SUMIF(JU!H7:N117,'BB Pembantu Persediaan'!C31,JU!L7:L117)</f>
        <v>0</v>
      </c>
      <c r="H37" s="118" t="e">
        <f ca="1">I37/G37</f>
        <v>#DIV/0!</v>
      </c>
      <c r="I37" s="67">
        <f ca="1">SUMIF(JU!H7:N117,'BB Pembantu Persediaan'!C31,JU!N7:N117)</f>
        <v>0</v>
      </c>
      <c r="J37" s="33">
        <f ca="1">J36+D37-G37</f>
        <v>15</v>
      </c>
      <c r="K37" s="67">
        <f>K36</f>
        <v>1200000</v>
      </c>
      <c r="L37" s="67">
        <f>L36</f>
        <v>18000000</v>
      </c>
    </row>
    <row r="38" spans="1:12" ht="15" x14ac:dyDescent="0.2">
      <c r="A38" s="33"/>
      <c r="B38" s="33"/>
      <c r="C38" s="68"/>
      <c r="D38" s="33"/>
      <c r="E38" s="68"/>
      <c r="F38" s="68"/>
      <c r="G38" s="33"/>
      <c r="H38" s="68"/>
      <c r="I38" s="68"/>
      <c r="J38" s="33"/>
      <c r="K38" s="67"/>
      <c r="L38" s="67"/>
    </row>
    <row r="39" spans="1:12" ht="15" x14ac:dyDescent="0.2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13"/>
      <c r="L39" s="113"/>
    </row>
    <row r="40" spans="1:12" ht="15" x14ac:dyDescent="0.2">
      <c r="A40" s="189" t="s">
        <v>146</v>
      </c>
      <c r="B40" s="189"/>
      <c r="C40" s="94" t="s">
        <v>89</v>
      </c>
      <c r="D40" s="95"/>
      <c r="E40" s="94"/>
      <c r="F40" s="94"/>
      <c r="G40" s="95"/>
      <c r="H40" s="94"/>
      <c r="I40" s="94"/>
      <c r="J40" s="95"/>
      <c r="K40" s="106"/>
      <c r="L40" s="106"/>
    </row>
    <row r="41" spans="1:12" ht="15" x14ac:dyDescent="0.2">
      <c r="A41" s="189" t="s">
        <v>164</v>
      </c>
      <c r="B41" s="189"/>
      <c r="C41" s="189" t="str">
        <f>VLOOKUP(C40,'Master Akun'!A76:H87,2,)</f>
        <v>EBIET D708</v>
      </c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ht="15" x14ac:dyDescent="0.2">
      <c r="A42" s="121"/>
      <c r="B42" s="121"/>
      <c r="C42" s="110"/>
      <c r="D42" s="121"/>
      <c r="E42" s="110"/>
      <c r="F42" s="110"/>
      <c r="G42" s="121"/>
      <c r="H42" s="110"/>
      <c r="I42" s="110"/>
      <c r="J42" s="121"/>
      <c r="K42" s="111"/>
      <c r="L42" s="111"/>
    </row>
    <row r="43" spans="1:12" ht="15" x14ac:dyDescent="0.2">
      <c r="A43" s="203" t="s">
        <v>142</v>
      </c>
      <c r="B43" s="191" t="s">
        <v>154</v>
      </c>
      <c r="C43" s="191" t="s">
        <v>144</v>
      </c>
      <c r="D43" s="205" t="s">
        <v>147</v>
      </c>
      <c r="E43" s="206"/>
      <c r="F43" s="207"/>
      <c r="G43" s="205" t="s">
        <v>148</v>
      </c>
      <c r="H43" s="206"/>
      <c r="I43" s="207"/>
      <c r="J43" s="205" t="s">
        <v>155</v>
      </c>
      <c r="K43" s="206"/>
      <c r="L43" s="207"/>
    </row>
    <row r="44" spans="1:12" ht="15" x14ac:dyDescent="0.2">
      <c r="A44" s="204"/>
      <c r="B44" s="191"/>
      <c r="C44" s="191"/>
      <c r="D44" s="97" t="s">
        <v>149</v>
      </c>
      <c r="E44" s="97" t="s">
        <v>150</v>
      </c>
      <c r="F44" s="97" t="s">
        <v>80</v>
      </c>
      <c r="G44" s="97" t="s">
        <v>149</v>
      </c>
      <c r="H44" s="97" t="s">
        <v>150</v>
      </c>
      <c r="I44" s="97" t="s">
        <v>80</v>
      </c>
      <c r="J44" s="97" t="s">
        <v>149</v>
      </c>
      <c r="K44" s="112" t="s">
        <v>150</v>
      </c>
      <c r="L44" s="112" t="s">
        <v>80</v>
      </c>
    </row>
    <row r="45" spans="1:12" ht="15" x14ac:dyDescent="0.2">
      <c r="A45" s="98"/>
      <c r="B45" s="66" t="s">
        <v>202</v>
      </c>
      <c r="C45" s="68"/>
      <c r="D45" s="33"/>
      <c r="E45" s="68"/>
      <c r="F45" s="68"/>
      <c r="G45" s="33"/>
      <c r="H45" s="68"/>
      <c r="I45" s="68"/>
      <c r="J45" s="33">
        <f>VLOOKUP(C40,'Master Akun'!A76:H87,6,)</f>
        <v>8</v>
      </c>
      <c r="K45" s="67">
        <f>VLOOKUP(C40,'Master Akun'!A76:H87,4,)</f>
        <v>2850000</v>
      </c>
      <c r="L45" s="67">
        <f>K45*J45</f>
        <v>22800000</v>
      </c>
    </row>
    <row r="46" spans="1:12" ht="15" x14ac:dyDescent="0.2">
      <c r="A46" s="114"/>
      <c r="B46" s="73" t="s">
        <v>203</v>
      </c>
      <c r="C46" s="68"/>
      <c r="D46" s="33">
        <f ca="1">SUMIF(JU!H7:N117,'BB Pembantu Persediaan'!C40,JU!I7:I117)</f>
        <v>0</v>
      </c>
      <c r="E46" s="117" t="e">
        <f ca="1">F46/D46</f>
        <v>#DIV/0!</v>
      </c>
      <c r="F46" s="67">
        <f ca="1">SUMIF(JU!H7:N117,'BB Pembantu Persediaan'!C40,JU!K7:K117)</f>
        <v>0</v>
      </c>
      <c r="G46" s="33">
        <f ca="1">SUMIF(JU!H7:N117,'BB Pembantu Persediaan'!C40,JU!L7:L117)</f>
        <v>4</v>
      </c>
      <c r="H46" s="115">
        <f ca="1">I46/G46</f>
        <v>2850000</v>
      </c>
      <c r="I46" s="67">
        <f ca="1">SUMIF(JU!H7:N117,'BB Pembantu Persediaan'!C40,JU!N7:N117)</f>
        <v>11400000</v>
      </c>
      <c r="J46" s="33">
        <f ca="1">J45+D46-G46</f>
        <v>4</v>
      </c>
      <c r="K46" s="67">
        <f ca="1">L46/J46</f>
        <v>2850000</v>
      </c>
      <c r="L46" s="67">
        <f ca="1">L45+F46-I46</f>
        <v>11400000</v>
      </c>
    </row>
    <row r="47" spans="1:12" ht="15" x14ac:dyDescent="0.2">
      <c r="A47" s="33"/>
      <c r="B47" s="33"/>
      <c r="C47" s="68"/>
      <c r="D47" s="33"/>
      <c r="E47" s="68"/>
      <c r="F47" s="68"/>
      <c r="G47" s="33"/>
      <c r="H47" s="68"/>
      <c r="I47" s="68"/>
      <c r="J47" s="33"/>
      <c r="K47" s="67"/>
      <c r="L47" s="67"/>
    </row>
    <row r="48" spans="1:12" ht="15" x14ac:dyDescent="0.2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13"/>
      <c r="L48" s="113"/>
    </row>
    <row r="49" spans="1:12" ht="15" x14ac:dyDescent="0.2">
      <c r="A49" s="189" t="s">
        <v>146</v>
      </c>
      <c r="B49" s="189"/>
      <c r="C49" s="94" t="s">
        <v>91</v>
      </c>
      <c r="D49" s="95"/>
      <c r="E49" s="94"/>
      <c r="F49" s="94"/>
      <c r="G49" s="95"/>
      <c r="H49" s="94"/>
      <c r="I49" s="94"/>
      <c r="J49" s="95"/>
      <c r="K49" s="106"/>
      <c r="L49" s="106"/>
    </row>
    <row r="50" spans="1:12" ht="15" x14ac:dyDescent="0.2">
      <c r="A50" s="189" t="s">
        <v>164</v>
      </c>
      <c r="B50" s="189"/>
      <c r="C50" s="189" t="str">
        <f>VLOOKUP(C49,'Master Akun'!A76:H87,2,)</f>
        <v>EBIET D908</v>
      </c>
      <c r="D50" s="189"/>
      <c r="E50" s="189"/>
      <c r="F50" s="189"/>
      <c r="G50" s="189"/>
      <c r="H50" s="189"/>
      <c r="I50" s="189"/>
      <c r="J50" s="189"/>
      <c r="K50" s="189"/>
      <c r="L50" s="189"/>
    </row>
    <row r="51" spans="1:12" ht="15" x14ac:dyDescent="0.2">
      <c r="A51" s="121"/>
      <c r="B51" s="121"/>
      <c r="C51" s="110"/>
      <c r="D51" s="121"/>
      <c r="E51" s="110"/>
      <c r="F51" s="110"/>
      <c r="G51" s="121"/>
      <c r="H51" s="110"/>
      <c r="I51" s="110"/>
      <c r="J51" s="121"/>
      <c r="K51" s="111"/>
      <c r="L51" s="111"/>
    </row>
    <row r="52" spans="1:12" ht="15" x14ac:dyDescent="0.2">
      <c r="A52" s="203" t="s">
        <v>142</v>
      </c>
      <c r="B52" s="191" t="s">
        <v>154</v>
      </c>
      <c r="C52" s="191" t="s">
        <v>144</v>
      </c>
      <c r="D52" s="205" t="s">
        <v>147</v>
      </c>
      <c r="E52" s="206"/>
      <c r="F52" s="207"/>
      <c r="G52" s="205" t="s">
        <v>148</v>
      </c>
      <c r="H52" s="206"/>
      <c r="I52" s="207"/>
      <c r="J52" s="205" t="s">
        <v>155</v>
      </c>
      <c r="K52" s="206"/>
      <c r="L52" s="207"/>
    </row>
    <row r="53" spans="1:12" ht="15" x14ac:dyDescent="0.2">
      <c r="A53" s="204"/>
      <c r="B53" s="191"/>
      <c r="C53" s="191"/>
      <c r="D53" s="97" t="s">
        <v>149</v>
      </c>
      <c r="E53" s="97" t="s">
        <v>150</v>
      </c>
      <c r="F53" s="97" t="s">
        <v>80</v>
      </c>
      <c r="G53" s="97" t="s">
        <v>149</v>
      </c>
      <c r="H53" s="97" t="s">
        <v>150</v>
      </c>
      <c r="I53" s="97" t="s">
        <v>80</v>
      </c>
      <c r="J53" s="97" t="s">
        <v>149</v>
      </c>
      <c r="K53" s="112" t="s">
        <v>150</v>
      </c>
      <c r="L53" s="112" t="s">
        <v>80</v>
      </c>
    </row>
    <row r="54" spans="1:12" ht="15" x14ac:dyDescent="0.2">
      <c r="A54" s="98"/>
      <c r="B54" s="66" t="s">
        <v>202</v>
      </c>
      <c r="C54" s="68"/>
      <c r="D54" s="33"/>
      <c r="E54" s="68"/>
      <c r="F54" s="68"/>
      <c r="G54" s="33"/>
      <c r="H54" s="68"/>
      <c r="I54" s="68"/>
      <c r="J54" s="33">
        <f>VLOOKUP(C49,'Master Akun'!A76:H87,6,)</f>
        <v>12</v>
      </c>
      <c r="K54" s="67">
        <f>VLOOKUP(C49,'Master Akun'!A76:H87,4,)</f>
        <v>590000</v>
      </c>
      <c r="L54" s="67">
        <f>K54*J54</f>
        <v>7080000</v>
      </c>
    </row>
    <row r="55" spans="1:12" ht="15" x14ac:dyDescent="0.2">
      <c r="A55" s="114"/>
      <c r="B55" s="73" t="s">
        <v>203</v>
      </c>
      <c r="C55" s="68"/>
      <c r="D55" s="33">
        <f ca="1">SUMIF(JU!H7:N117,'BB Pembantu Persediaan'!C49,JU!I7:I117)</f>
        <v>0</v>
      </c>
      <c r="E55" s="117" t="e">
        <f ca="1">F55/D55</f>
        <v>#DIV/0!</v>
      </c>
      <c r="F55" s="67">
        <f ca="1">SUMIF(JU!H7:N117,'BB Pembantu Persediaan'!C49,JU!K7:K117)</f>
        <v>0</v>
      </c>
      <c r="G55" s="33">
        <f ca="1">SUMIF(JU!H7:N117,'BB Pembantu Persediaan'!C49,JU!L7:L117)</f>
        <v>6</v>
      </c>
      <c r="H55" s="115">
        <f ca="1">I55/G55</f>
        <v>590000</v>
      </c>
      <c r="I55" s="67">
        <f ca="1">SUMIF(JU!H7:N117,'BB Pembantu Persediaan'!C49,JU!N7:N117)</f>
        <v>3540000</v>
      </c>
      <c r="J55" s="33">
        <f ca="1">J54+D55-G55</f>
        <v>6</v>
      </c>
      <c r="K55" s="67">
        <f ca="1">L55/J55</f>
        <v>590000</v>
      </c>
      <c r="L55" s="67">
        <f ca="1">L54+F55-I55</f>
        <v>3540000</v>
      </c>
    </row>
    <row r="56" spans="1:12" ht="15" x14ac:dyDescent="0.2">
      <c r="A56" s="33"/>
      <c r="B56" s="33"/>
      <c r="C56" s="68"/>
      <c r="D56" s="33"/>
      <c r="E56" s="68"/>
      <c r="F56" s="68"/>
      <c r="G56" s="33"/>
      <c r="H56" s="68"/>
      <c r="I56" s="68"/>
      <c r="J56" s="33"/>
      <c r="K56" s="67"/>
      <c r="L56" s="67"/>
    </row>
    <row r="57" spans="1:12" ht="15" x14ac:dyDescent="0.2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13"/>
      <c r="L57" s="113"/>
    </row>
    <row r="58" spans="1:12" ht="15" x14ac:dyDescent="0.2">
      <c r="A58" s="189" t="s">
        <v>146</v>
      </c>
      <c r="B58" s="189"/>
      <c r="C58" s="94" t="s">
        <v>93</v>
      </c>
      <c r="D58" s="95"/>
      <c r="E58" s="94"/>
      <c r="F58" s="94"/>
      <c r="G58" s="95"/>
      <c r="H58" s="94"/>
      <c r="I58" s="94"/>
      <c r="J58" s="95"/>
      <c r="K58" s="106"/>
      <c r="L58" s="106"/>
    </row>
    <row r="59" spans="1:12" ht="15" x14ac:dyDescent="0.2">
      <c r="A59" s="189" t="s">
        <v>164</v>
      </c>
      <c r="B59" s="189"/>
      <c r="C59" s="189" t="str">
        <f>VLOOKUP(C58,'Master Akun'!A76:H87,2,)</f>
        <v>TAMERLAND L1</v>
      </c>
      <c r="D59" s="189"/>
      <c r="E59" s="189"/>
      <c r="F59" s="189"/>
      <c r="G59" s="189"/>
      <c r="H59" s="189"/>
      <c r="I59" s="189"/>
      <c r="J59" s="189"/>
      <c r="K59" s="189"/>
      <c r="L59" s="189"/>
    </row>
    <row r="60" spans="1:12" ht="15" x14ac:dyDescent="0.2">
      <c r="A60" s="121"/>
      <c r="B60" s="121"/>
      <c r="C60" s="110"/>
      <c r="D60" s="121"/>
      <c r="E60" s="110"/>
      <c r="F60" s="110"/>
      <c r="G60" s="121"/>
      <c r="H60" s="110"/>
      <c r="I60" s="110"/>
      <c r="J60" s="121"/>
      <c r="K60" s="111"/>
      <c r="L60" s="111"/>
    </row>
    <row r="61" spans="1:12" ht="15" x14ac:dyDescent="0.2">
      <c r="A61" s="203" t="s">
        <v>142</v>
      </c>
      <c r="B61" s="191" t="s">
        <v>154</v>
      </c>
      <c r="C61" s="191" t="s">
        <v>144</v>
      </c>
      <c r="D61" s="205" t="s">
        <v>147</v>
      </c>
      <c r="E61" s="206"/>
      <c r="F61" s="207"/>
      <c r="G61" s="205" t="s">
        <v>148</v>
      </c>
      <c r="H61" s="206"/>
      <c r="I61" s="207"/>
      <c r="J61" s="205" t="s">
        <v>155</v>
      </c>
      <c r="K61" s="206"/>
      <c r="L61" s="207"/>
    </row>
    <row r="62" spans="1:12" ht="15" x14ac:dyDescent="0.2">
      <c r="A62" s="204"/>
      <c r="B62" s="191"/>
      <c r="C62" s="191"/>
      <c r="D62" s="97" t="s">
        <v>149</v>
      </c>
      <c r="E62" s="97" t="s">
        <v>150</v>
      </c>
      <c r="F62" s="97" t="s">
        <v>80</v>
      </c>
      <c r="G62" s="97" t="s">
        <v>149</v>
      </c>
      <c r="H62" s="97" t="s">
        <v>150</v>
      </c>
      <c r="I62" s="97" t="s">
        <v>80</v>
      </c>
      <c r="J62" s="97" t="s">
        <v>149</v>
      </c>
      <c r="K62" s="112" t="s">
        <v>150</v>
      </c>
      <c r="L62" s="112" t="s">
        <v>80</v>
      </c>
    </row>
    <row r="63" spans="1:12" ht="15" x14ac:dyDescent="0.2">
      <c r="A63" s="98"/>
      <c r="B63" s="66" t="s">
        <v>202</v>
      </c>
      <c r="C63" s="68"/>
      <c r="D63" s="33"/>
      <c r="E63" s="68"/>
      <c r="F63" s="68"/>
      <c r="G63" s="33"/>
      <c r="H63" s="68"/>
      <c r="I63" s="68"/>
      <c r="J63" s="33">
        <f>VLOOKUP(C58,'Master Akun'!A76:H87,6,)</f>
        <v>15</v>
      </c>
      <c r="K63" s="67">
        <f>VLOOKUP(C58,'Master Akun'!A76:H87,4,)</f>
        <v>1300000</v>
      </c>
      <c r="L63" s="67">
        <f>K63*J63</f>
        <v>19500000</v>
      </c>
    </row>
    <row r="64" spans="1:12" ht="15" x14ac:dyDescent="0.2">
      <c r="A64" s="114"/>
      <c r="B64" s="73" t="s">
        <v>203</v>
      </c>
      <c r="C64" s="68"/>
      <c r="D64" s="33">
        <f ca="1">SUMIF(JU!H7:N117,'BB Pembantu Persediaan'!C58,JU!I7:I117)</f>
        <v>0</v>
      </c>
      <c r="E64" s="117" t="e">
        <f ca="1">F64/D64</f>
        <v>#DIV/0!</v>
      </c>
      <c r="F64" s="67">
        <f ca="1">SUMIF(JU!H7:N117,'BB Pembantu Persediaan'!C58,JU!K7:K117)</f>
        <v>0</v>
      </c>
      <c r="G64" s="33">
        <f ca="1">SUMIF(JU!H7:N117,'BB Pembantu Persediaan'!C58,JU!L7:L117)</f>
        <v>12</v>
      </c>
      <c r="H64" s="115">
        <f ca="1">I64/G64</f>
        <v>1300000</v>
      </c>
      <c r="I64" s="67">
        <f ca="1">SUMIF(JU!H7:N117,'BB Pembantu Persediaan'!C58,JU!N7:N117)</f>
        <v>15600000</v>
      </c>
      <c r="J64" s="33">
        <f ca="1">J63+D64-G64</f>
        <v>3</v>
      </c>
      <c r="K64" s="67">
        <f ca="1">L64/J64</f>
        <v>1300000</v>
      </c>
      <c r="L64" s="67">
        <f ca="1">L63+F64-I64</f>
        <v>3900000</v>
      </c>
    </row>
    <row r="65" spans="1:12" ht="15" x14ac:dyDescent="0.2">
      <c r="A65" s="33"/>
      <c r="B65" s="33"/>
      <c r="C65" s="68"/>
      <c r="D65" s="33"/>
      <c r="E65" s="68"/>
      <c r="F65" s="68"/>
      <c r="G65" s="33"/>
      <c r="H65" s="68"/>
      <c r="I65" s="68"/>
      <c r="J65" s="33"/>
      <c r="K65" s="67"/>
      <c r="L65" s="67"/>
    </row>
    <row r="66" spans="1:12" ht="15" x14ac:dyDescent="0.2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13"/>
      <c r="L66" s="113"/>
    </row>
    <row r="67" spans="1:12" ht="15" x14ac:dyDescent="0.2">
      <c r="A67" s="189" t="s">
        <v>146</v>
      </c>
      <c r="B67" s="189"/>
      <c r="C67" s="94" t="s">
        <v>95</v>
      </c>
      <c r="D67" s="95"/>
      <c r="E67" s="94"/>
      <c r="F67" s="94"/>
      <c r="G67" s="95"/>
      <c r="H67" s="94"/>
      <c r="I67" s="94"/>
      <c r="J67" s="95"/>
      <c r="K67" s="106"/>
      <c r="L67" s="106"/>
    </row>
    <row r="68" spans="1:12" ht="15" x14ac:dyDescent="0.2">
      <c r="A68" s="189" t="s">
        <v>164</v>
      </c>
      <c r="B68" s="189"/>
      <c r="C68" s="189" t="str">
        <f>VLOOKUP(C67,'Master Akun'!A76:H87,2,)</f>
        <v>TAMERLAND L2</v>
      </c>
      <c r="D68" s="189"/>
      <c r="E68" s="189"/>
      <c r="F68" s="189"/>
      <c r="G68" s="189"/>
      <c r="H68" s="189"/>
      <c r="I68" s="189"/>
      <c r="J68" s="189"/>
      <c r="K68" s="189"/>
      <c r="L68" s="189"/>
    </row>
    <row r="69" spans="1:12" ht="15" x14ac:dyDescent="0.2">
      <c r="A69" s="121"/>
      <c r="B69" s="121"/>
      <c r="C69" s="110"/>
      <c r="D69" s="121"/>
      <c r="E69" s="110"/>
      <c r="F69" s="110"/>
      <c r="G69" s="121"/>
      <c r="H69" s="110"/>
      <c r="I69" s="110"/>
      <c r="J69" s="121"/>
      <c r="K69" s="111"/>
      <c r="L69" s="111"/>
    </row>
    <row r="70" spans="1:12" ht="15" x14ac:dyDescent="0.2">
      <c r="A70" s="203" t="s">
        <v>142</v>
      </c>
      <c r="B70" s="191" t="s">
        <v>154</v>
      </c>
      <c r="C70" s="191" t="s">
        <v>144</v>
      </c>
      <c r="D70" s="205" t="s">
        <v>147</v>
      </c>
      <c r="E70" s="206"/>
      <c r="F70" s="207"/>
      <c r="G70" s="205" t="s">
        <v>148</v>
      </c>
      <c r="H70" s="206"/>
      <c r="I70" s="207"/>
      <c r="J70" s="205" t="s">
        <v>155</v>
      </c>
      <c r="K70" s="206"/>
      <c r="L70" s="207"/>
    </row>
    <row r="71" spans="1:12" ht="15" x14ac:dyDescent="0.2">
      <c r="A71" s="204"/>
      <c r="B71" s="191"/>
      <c r="C71" s="191"/>
      <c r="D71" s="97" t="s">
        <v>149</v>
      </c>
      <c r="E71" s="97" t="s">
        <v>150</v>
      </c>
      <c r="F71" s="97" t="s">
        <v>80</v>
      </c>
      <c r="G71" s="97" t="s">
        <v>149</v>
      </c>
      <c r="H71" s="97" t="s">
        <v>150</v>
      </c>
      <c r="I71" s="97" t="s">
        <v>80</v>
      </c>
      <c r="J71" s="97" t="s">
        <v>149</v>
      </c>
      <c r="K71" s="112" t="s">
        <v>150</v>
      </c>
      <c r="L71" s="112" t="s">
        <v>80</v>
      </c>
    </row>
    <row r="72" spans="1:12" ht="15" x14ac:dyDescent="0.2">
      <c r="A72" s="98"/>
      <c r="B72" s="66" t="s">
        <v>202</v>
      </c>
      <c r="C72" s="68"/>
      <c r="D72" s="33"/>
      <c r="E72" s="68"/>
      <c r="F72" s="68"/>
      <c r="G72" s="33"/>
      <c r="H72" s="68"/>
      <c r="I72" s="68"/>
      <c r="J72" s="33">
        <f>VLOOKUP(C67,'Master Akun'!A76:H87,6,)</f>
        <v>12</v>
      </c>
      <c r="K72" s="67">
        <f>VLOOKUP(C67,'Master Akun'!A76:H87,4,)</f>
        <v>1750000</v>
      </c>
      <c r="L72" s="67">
        <f>K72*J72</f>
        <v>21000000</v>
      </c>
    </row>
    <row r="73" spans="1:12" ht="15" x14ac:dyDescent="0.2">
      <c r="A73" s="114"/>
      <c r="B73" s="73" t="s">
        <v>203</v>
      </c>
      <c r="C73" s="68"/>
      <c r="D73" s="33">
        <f ca="1">SUMIF(JU!H7:N117,'BB Pembantu Persediaan'!C67,JU!I7:I117)</f>
        <v>0</v>
      </c>
      <c r="E73" s="117" t="e">
        <f ca="1">F73/D73</f>
        <v>#DIV/0!</v>
      </c>
      <c r="F73" s="67">
        <f ca="1">SUMIF(JU!H7:N117,'BB Pembantu Persediaan'!C67,JU!K7:K117)</f>
        <v>0</v>
      </c>
      <c r="G73" s="33">
        <f ca="1">SUMIF(JU!H7:N117,'BB Pembantu Persediaan'!C67,JU!L7:L117)</f>
        <v>11</v>
      </c>
      <c r="H73" s="115">
        <f ca="1">I73/G73</f>
        <v>1750000</v>
      </c>
      <c r="I73" s="67">
        <f ca="1">SUMIF(JU!H7:N117,'BB Pembantu Persediaan'!C67,JU!N7:N117)</f>
        <v>19250000</v>
      </c>
      <c r="J73" s="33">
        <f ca="1">J72+D73-G73</f>
        <v>1</v>
      </c>
      <c r="K73" s="67">
        <f ca="1">L73/J73</f>
        <v>1750000</v>
      </c>
      <c r="L73" s="67">
        <f ca="1">L72+F73-I73</f>
        <v>1750000</v>
      </c>
    </row>
    <row r="74" spans="1:12" ht="15" x14ac:dyDescent="0.2">
      <c r="A74" s="33"/>
      <c r="B74" s="33"/>
      <c r="C74" s="68"/>
      <c r="D74" s="33"/>
      <c r="E74" s="68"/>
      <c r="F74" s="68"/>
      <c r="G74" s="33"/>
      <c r="H74" s="68"/>
      <c r="I74" s="68"/>
      <c r="J74" s="33"/>
      <c r="K74" s="67"/>
      <c r="L74" s="67"/>
    </row>
    <row r="75" spans="1:12" ht="15" x14ac:dyDescent="0.2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13"/>
      <c r="L75" s="113"/>
    </row>
    <row r="76" spans="1:12" ht="15" x14ac:dyDescent="0.2">
      <c r="A76" s="189" t="s">
        <v>146</v>
      </c>
      <c r="B76" s="189"/>
      <c r="C76" s="94" t="s">
        <v>97</v>
      </c>
      <c r="D76" s="95"/>
      <c r="E76" s="94"/>
      <c r="F76" s="94"/>
      <c r="G76" s="95"/>
      <c r="H76" s="94"/>
      <c r="I76" s="94"/>
      <c r="J76" s="95"/>
      <c r="K76" s="106"/>
      <c r="L76" s="106"/>
    </row>
    <row r="77" spans="1:12" ht="15" x14ac:dyDescent="0.2">
      <c r="A77" s="189" t="s">
        <v>164</v>
      </c>
      <c r="B77" s="189"/>
      <c r="C77" s="189" t="str">
        <f>VLOOKUP(C76,'Master Akun'!A76:H87,2,)</f>
        <v>TAMERLAND L3</v>
      </c>
      <c r="D77" s="189"/>
      <c r="E77" s="189"/>
      <c r="F77" s="189"/>
      <c r="G77" s="189"/>
      <c r="H77" s="189"/>
      <c r="I77" s="189"/>
      <c r="J77" s="189"/>
      <c r="K77" s="189"/>
      <c r="L77" s="189"/>
    </row>
    <row r="78" spans="1:12" ht="15" x14ac:dyDescent="0.2">
      <c r="A78" s="121"/>
      <c r="B78" s="121"/>
      <c r="C78" s="110"/>
      <c r="D78" s="121"/>
      <c r="E78" s="110"/>
      <c r="F78" s="110"/>
      <c r="G78" s="121"/>
      <c r="H78" s="110"/>
      <c r="I78" s="110"/>
      <c r="J78" s="121"/>
      <c r="K78" s="111"/>
      <c r="L78" s="111"/>
    </row>
    <row r="79" spans="1:12" ht="15" x14ac:dyDescent="0.2">
      <c r="A79" s="203" t="s">
        <v>142</v>
      </c>
      <c r="B79" s="191" t="s">
        <v>154</v>
      </c>
      <c r="C79" s="191" t="s">
        <v>144</v>
      </c>
      <c r="D79" s="205" t="s">
        <v>147</v>
      </c>
      <c r="E79" s="206"/>
      <c r="F79" s="207"/>
      <c r="G79" s="205" t="s">
        <v>148</v>
      </c>
      <c r="H79" s="206"/>
      <c r="I79" s="207"/>
      <c r="J79" s="205" t="s">
        <v>155</v>
      </c>
      <c r="K79" s="206"/>
      <c r="L79" s="207"/>
    </row>
    <row r="80" spans="1:12" ht="15" x14ac:dyDescent="0.2">
      <c r="A80" s="204"/>
      <c r="B80" s="191"/>
      <c r="C80" s="191"/>
      <c r="D80" s="97" t="s">
        <v>149</v>
      </c>
      <c r="E80" s="97" t="s">
        <v>150</v>
      </c>
      <c r="F80" s="97" t="s">
        <v>80</v>
      </c>
      <c r="G80" s="97" t="s">
        <v>149</v>
      </c>
      <c r="H80" s="97" t="s">
        <v>150</v>
      </c>
      <c r="I80" s="97" t="s">
        <v>80</v>
      </c>
      <c r="J80" s="97" t="s">
        <v>149</v>
      </c>
      <c r="K80" s="112" t="s">
        <v>150</v>
      </c>
      <c r="L80" s="112" t="s">
        <v>80</v>
      </c>
    </row>
    <row r="81" spans="1:12" ht="15" x14ac:dyDescent="0.2">
      <c r="A81" s="98"/>
      <c r="B81" s="66" t="s">
        <v>202</v>
      </c>
      <c r="C81" s="68"/>
      <c r="D81" s="33"/>
      <c r="E81" s="68"/>
      <c r="F81" s="68"/>
      <c r="G81" s="33"/>
      <c r="H81" s="68"/>
      <c r="I81" s="68"/>
      <c r="J81" s="33">
        <f>VLOOKUP(C76,'Master Akun'!A76:H87,6,)</f>
        <v>15</v>
      </c>
      <c r="K81" s="67">
        <f>VLOOKUP(C76,'Master Akun'!A76:H87,4,)</f>
        <v>1050000</v>
      </c>
      <c r="L81" s="67">
        <f>K81*J81</f>
        <v>15750000</v>
      </c>
    </row>
    <row r="82" spans="1:12" ht="15" x14ac:dyDescent="0.2">
      <c r="A82" s="114"/>
      <c r="B82" s="73" t="s">
        <v>203</v>
      </c>
      <c r="C82" s="68"/>
      <c r="D82" s="33">
        <f ca="1">SUMIF(JU!H7:N117,'BB Pembantu Persediaan'!C76,JU!I7:I117)</f>
        <v>0</v>
      </c>
      <c r="E82" s="117" t="e">
        <f ca="1">F82/D82</f>
        <v>#DIV/0!</v>
      </c>
      <c r="F82" s="67">
        <f ca="1">SUMIF(JU!H7:N117,'BB Pembantu Persediaan'!C76,JU!K7:K117)</f>
        <v>0</v>
      </c>
      <c r="G82" s="33">
        <f ca="1">SUMIF(JU!H7:N117,'BB Pembantu Persediaan'!C76,JU!L7:L117)</f>
        <v>7</v>
      </c>
      <c r="H82" s="115">
        <f ca="1">I82/G82</f>
        <v>1050000</v>
      </c>
      <c r="I82" s="67">
        <f ca="1">SUMIF(JU!H7:N117,'BB Pembantu Persediaan'!C76,JU!N7:N117)</f>
        <v>7350000</v>
      </c>
      <c r="J82" s="33">
        <f ca="1">J81+D82-G82</f>
        <v>8</v>
      </c>
      <c r="K82" s="67">
        <f ca="1">L82/J82</f>
        <v>1050000</v>
      </c>
      <c r="L82" s="67">
        <f ca="1">L81+F82-I82</f>
        <v>8400000</v>
      </c>
    </row>
    <row r="83" spans="1:12" ht="15" x14ac:dyDescent="0.2">
      <c r="A83" s="33"/>
      <c r="B83" s="33"/>
      <c r="C83" s="68"/>
      <c r="D83" s="33"/>
      <c r="E83" s="68"/>
      <c r="F83" s="68"/>
      <c r="G83" s="33"/>
      <c r="H83" s="68"/>
      <c r="I83" s="68"/>
      <c r="J83" s="33"/>
      <c r="K83" s="67"/>
      <c r="L83" s="67"/>
    </row>
    <row r="84" spans="1:12" ht="15" x14ac:dyDescent="0.2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13"/>
      <c r="L84" s="113"/>
    </row>
    <row r="85" spans="1:12" ht="15" x14ac:dyDescent="0.2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13"/>
      <c r="L85" s="113"/>
    </row>
    <row r="86" spans="1:12" ht="15" x14ac:dyDescent="0.2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13"/>
      <c r="L86" s="113"/>
    </row>
    <row r="87" spans="1:12" ht="15" x14ac:dyDescent="0.2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13"/>
      <c r="L87" s="113"/>
    </row>
    <row r="88" spans="1:12" ht="15" x14ac:dyDescent="0.2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13"/>
      <c r="L88" s="113"/>
    </row>
    <row r="89" spans="1:12" ht="15" x14ac:dyDescent="0.2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13"/>
      <c r="L89" s="113"/>
    </row>
    <row r="90" spans="1:12" ht="15" x14ac:dyDescent="0.2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13"/>
      <c r="L90" s="113"/>
    </row>
    <row r="91" spans="1:12" ht="15" x14ac:dyDescent="0.2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13"/>
      <c r="L91" s="113"/>
    </row>
    <row r="92" spans="1:12" ht="15" x14ac:dyDescent="0.2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13"/>
      <c r="L92" s="113"/>
    </row>
    <row r="93" spans="1:12" ht="15" x14ac:dyDescent="0.2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13"/>
      <c r="L93" s="113"/>
    </row>
    <row r="94" spans="1:12" ht="15" x14ac:dyDescent="0.2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13"/>
      <c r="L94" s="113"/>
    </row>
    <row r="95" spans="1:12" ht="15" x14ac:dyDescent="0.2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13"/>
      <c r="L95" s="113"/>
    </row>
    <row r="96" spans="1:12" ht="15" x14ac:dyDescent="0.2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13"/>
      <c r="L96" s="113"/>
    </row>
    <row r="97" spans="1:12" ht="15" x14ac:dyDescent="0.2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13"/>
      <c r="L97" s="113"/>
    </row>
    <row r="98" spans="1:12" ht="15" x14ac:dyDescent="0.2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13"/>
      <c r="L98" s="113"/>
    </row>
    <row r="99" spans="1:12" ht="15" x14ac:dyDescent="0.2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13"/>
      <c r="L99" s="113"/>
    </row>
    <row r="100" spans="1:12" ht="15" x14ac:dyDescent="0.2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13"/>
      <c r="L100" s="113"/>
    </row>
    <row r="101" spans="1:12" ht="15" x14ac:dyDescent="0.2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13"/>
      <c r="L101" s="113"/>
    </row>
    <row r="102" spans="1:12" ht="15" x14ac:dyDescent="0.2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13"/>
      <c r="L102" s="113"/>
    </row>
    <row r="103" spans="1:12" ht="15" x14ac:dyDescent="0.2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13"/>
      <c r="L103" s="113"/>
    </row>
    <row r="104" spans="1:12" ht="15" x14ac:dyDescent="0.2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13"/>
      <c r="L104" s="113"/>
    </row>
    <row r="105" spans="1:12" ht="15" x14ac:dyDescent="0.2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13"/>
      <c r="L105" s="113"/>
    </row>
    <row r="106" spans="1:12" ht="15" x14ac:dyDescent="0.2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13"/>
      <c r="L106" s="113"/>
    </row>
  </sheetData>
  <mergeCells count="85">
    <mergeCell ref="A76:B76"/>
    <mergeCell ref="A77:B77"/>
    <mergeCell ref="C77:L77"/>
    <mergeCell ref="A79:A80"/>
    <mergeCell ref="B79:B80"/>
    <mergeCell ref="C79:C80"/>
    <mergeCell ref="D79:F79"/>
    <mergeCell ref="G79:I79"/>
    <mergeCell ref="J79:L79"/>
    <mergeCell ref="A67:B67"/>
    <mergeCell ref="A68:B68"/>
    <mergeCell ref="C68:L68"/>
    <mergeCell ref="A70:A71"/>
    <mergeCell ref="B70:B71"/>
    <mergeCell ref="C70:C71"/>
    <mergeCell ref="D70:F70"/>
    <mergeCell ref="G70:I70"/>
    <mergeCell ref="J70:L70"/>
    <mergeCell ref="A58:B58"/>
    <mergeCell ref="A59:B59"/>
    <mergeCell ref="C59:L59"/>
    <mergeCell ref="A61:A62"/>
    <mergeCell ref="B61:B62"/>
    <mergeCell ref="C61:C62"/>
    <mergeCell ref="D61:F61"/>
    <mergeCell ref="G61:I61"/>
    <mergeCell ref="J61:L61"/>
    <mergeCell ref="A49:B49"/>
    <mergeCell ref="A50:B50"/>
    <mergeCell ref="C50:L50"/>
    <mergeCell ref="A52:A53"/>
    <mergeCell ref="B52:B53"/>
    <mergeCell ref="C52:C53"/>
    <mergeCell ref="D52:F52"/>
    <mergeCell ref="G52:I52"/>
    <mergeCell ref="J52:L52"/>
    <mergeCell ref="A40:B40"/>
    <mergeCell ref="A41:B41"/>
    <mergeCell ref="C41:L41"/>
    <mergeCell ref="A43:A44"/>
    <mergeCell ref="B43:B44"/>
    <mergeCell ref="C43:C44"/>
    <mergeCell ref="D43:F43"/>
    <mergeCell ref="G43:I43"/>
    <mergeCell ref="J43:L43"/>
    <mergeCell ref="A31:B31"/>
    <mergeCell ref="A32:B32"/>
    <mergeCell ref="C32:L32"/>
    <mergeCell ref="A34:A35"/>
    <mergeCell ref="B34:B35"/>
    <mergeCell ref="C34:C35"/>
    <mergeCell ref="D34:F34"/>
    <mergeCell ref="G34:I34"/>
    <mergeCell ref="J34:L34"/>
    <mergeCell ref="J16:L16"/>
    <mergeCell ref="A22:B22"/>
    <mergeCell ref="A23:B23"/>
    <mergeCell ref="C23:L23"/>
    <mergeCell ref="A25:A26"/>
    <mergeCell ref="B25:B26"/>
    <mergeCell ref="C25:C26"/>
    <mergeCell ref="D25:F25"/>
    <mergeCell ref="G25:I25"/>
    <mergeCell ref="J25:L25"/>
    <mergeCell ref="A16:A17"/>
    <mergeCell ref="B16:B17"/>
    <mergeCell ref="C16:C17"/>
    <mergeCell ref="D16:F16"/>
    <mergeCell ref="G16:I16"/>
    <mergeCell ref="A4:B4"/>
    <mergeCell ref="A5:B5"/>
    <mergeCell ref="C5:L5"/>
    <mergeCell ref="A1:L1"/>
    <mergeCell ref="A2:L2"/>
    <mergeCell ref="A3:L3"/>
    <mergeCell ref="N14:O14"/>
    <mergeCell ref="A7:A8"/>
    <mergeCell ref="J7:L7"/>
    <mergeCell ref="G7:I7"/>
    <mergeCell ref="D7:F7"/>
    <mergeCell ref="B7:B8"/>
    <mergeCell ref="C7:C8"/>
    <mergeCell ref="A13:B13"/>
    <mergeCell ref="A14:B14"/>
    <mergeCell ref="C14:L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3"/>
  <sheetViews>
    <sheetView workbookViewId="0">
      <selection activeCell="A4" sqref="A4:I4"/>
    </sheetView>
  </sheetViews>
  <sheetFormatPr defaultColWidth="9.14453125" defaultRowHeight="14.25" x14ac:dyDescent="0.15"/>
  <cols>
    <col min="1" max="1" width="9.68359375" style="4" customWidth="1"/>
    <col min="2" max="2" width="38.3359375" style="4" customWidth="1"/>
    <col min="3" max="3" width="9.14453125" style="4"/>
    <col min="4" max="5" width="17.08203125" style="4" customWidth="1"/>
    <col min="6" max="9" width="16.6796875" style="4" customWidth="1"/>
    <col min="10" max="16384" width="9.14453125" style="4"/>
  </cols>
  <sheetData>
    <row r="1" spans="1:9" x14ac:dyDescent="0.15">
      <c r="A1" s="9"/>
      <c r="B1" s="9"/>
      <c r="C1" s="9"/>
      <c r="D1" s="9"/>
      <c r="E1" s="9"/>
      <c r="F1" s="9"/>
      <c r="G1" s="9"/>
      <c r="H1" s="9"/>
      <c r="I1" s="9"/>
    </row>
    <row r="2" spans="1:9" x14ac:dyDescent="0.15">
      <c r="A2" s="9"/>
      <c r="B2" s="9"/>
      <c r="C2" s="9"/>
      <c r="D2" s="9"/>
      <c r="E2" s="9"/>
      <c r="F2" s="9"/>
      <c r="G2" s="9"/>
      <c r="H2" s="9"/>
      <c r="I2" s="9"/>
    </row>
    <row r="3" spans="1:9" ht="15" x14ac:dyDescent="0.2">
      <c r="A3" s="154" t="s">
        <v>70</v>
      </c>
      <c r="B3" s="154"/>
      <c r="C3" s="154"/>
      <c r="D3" s="154"/>
      <c r="E3" s="154"/>
      <c r="F3" s="154"/>
      <c r="G3" s="154"/>
      <c r="H3" s="154"/>
      <c r="I3" s="154"/>
    </row>
    <row r="4" spans="1:9" ht="15" x14ac:dyDescent="0.2">
      <c r="A4" s="155" t="s">
        <v>71</v>
      </c>
      <c r="B4" s="155"/>
      <c r="C4" s="155"/>
      <c r="D4" s="155"/>
      <c r="E4" s="155"/>
      <c r="F4" s="155"/>
      <c r="G4" s="155"/>
      <c r="H4" s="155"/>
      <c r="I4" s="155"/>
    </row>
    <row r="5" spans="1:9" ht="15" x14ac:dyDescent="0.2">
      <c r="A5" s="203" t="s">
        <v>141</v>
      </c>
      <c r="B5" s="203" t="s">
        <v>144</v>
      </c>
      <c r="C5" s="203" t="s">
        <v>145</v>
      </c>
      <c r="D5" s="209" t="s">
        <v>209</v>
      </c>
      <c r="E5" s="209"/>
      <c r="F5" s="209" t="s">
        <v>210</v>
      </c>
      <c r="G5" s="209"/>
      <c r="H5" s="209" t="s">
        <v>211</v>
      </c>
      <c r="I5" s="209"/>
    </row>
    <row r="6" spans="1:9" ht="15" x14ac:dyDescent="0.2">
      <c r="A6" s="204"/>
      <c r="B6" s="204"/>
      <c r="C6" s="204"/>
      <c r="D6" s="97" t="s">
        <v>2</v>
      </c>
      <c r="E6" s="97" t="s">
        <v>3</v>
      </c>
      <c r="F6" s="97" t="s">
        <v>2</v>
      </c>
      <c r="G6" s="97" t="s">
        <v>3</v>
      </c>
      <c r="H6" s="97" t="s">
        <v>2</v>
      </c>
      <c r="I6" s="97" t="s">
        <v>3</v>
      </c>
    </row>
    <row r="7" spans="1:9" ht="15" x14ac:dyDescent="0.2">
      <c r="A7" s="18">
        <v>10000</v>
      </c>
      <c r="B7" s="19" t="s">
        <v>4</v>
      </c>
      <c r="C7" s="68"/>
      <c r="D7" s="67">
        <f>VLOOKUP(A7,'Master Akun'!A6:E70,4,)</f>
        <v>0</v>
      </c>
      <c r="E7" s="67">
        <f>VLOOKUP(A7,'Master Akun'!A6:E70,5,)</f>
        <v>0</v>
      </c>
      <c r="F7" s="67">
        <f ca="1">SUMIF(JU!A7:G117,NS!A7,JU!F7:F117)</f>
        <v>0</v>
      </c>
      <c r="G7" s="67">
        <f ca="1">SUMIF(JU!A7:G117,NS!A7,JU!G7:G117)</f>
        <v>0</v>
      </c>
      <c r="H7" s="67">
        <f ca="1">IF(D7+F7&gt;E7+G7,D7+F7-(E7+G7),0)</f>
        <v>0</v>
      </c>
      <c r="I7" s="67">
        <f ca="1">IF(E7+G7&gt;F7+D7,G7+E7-(F7+D7),0)</f>
        <v>0</v>
      </c>
    </row>
    <row r="8" spans="1:9" ht="15" x14ac:dyDescent="0.2">
      <c r="A8" s="21">
        <v>11000</v>
      </c>
      <c r="B8" s="22" t="s">
        <v>5</v>
      </c>
      <c r="C8" s="68"/>
      <c r="D8" s="67">
        <f>VLOOKUP(A8,'Master Akun'!A7:E71,4,)</f>
        <v>0</v>
      </c>
      <c r="E8" s="67">
        <f>VLOOKUP(A8,'Master Akun'!A7:E71,5,)</f>
        <v>0</v>
      </c>
      <c r="F8" s="67">
        <f ca="1">SUMIF(JU!A8:G118,NS!A8,JU!F8:F118)</f>
        <v>0</v>
      </c>
      <c r="G8" s="67">
        <f ca="1">SUMIF(JU!A8:G118,NS!A8,JU!G8:G118)</f>
        <v>0</v>
      </c>
      <c r="H8" s="67">
        <f t="shared" ref="H8:H71" ca="1" si="0">IF(D8+F8&gt;E8+G8,D8+F8-(E8+G8),0)</f>
        <v>0</v>
      </c>
      <c r="I8" s="67">
        <f t="shared" ref="I8:I71" ca="1" si="1">IF(E8+G8&gt;F8+D8,G8+E8-(F8+D8),0)</f>
        <v>0</v>
      </c>
    </row>
    <row r="9" spans="1:9" ht="15" x14ac:dyDescent="0.2">
      <c r="A9" s="21">
        <v>11100</v>
      </c>
      <c r="B9" s="23" t="s">
        <v>6</v>
      </c>
      <c r="C9" s="68"/>
      <c r="D9" s="67">
        <f>VLOOKUP(A9,'Master Akun'!A8:E72,4,)</f>
        <v>0</v>
      </c>
      <c r="E9" s="67">
        <f>VLOOKUP(A9,'Master Akun'!A8:E72,5,)</f>
        <v>0</v>
      </c>
      <c r="F9" s="67">
        <f ca="1">SUMIF(JU!A9:G119,NS!A9,JU!F9:F119)</f>
        <v>0</v>
      </c>
      <c r="G9" s="67">
        <f ca="1">SUMIF(JU!A9:G119,NS!A9,JU!G9:G119)</f>
        <v>0</v>
      </c>
      <c r="H9" s="67">
        <f t="shared" ca="1" si="0"/>
        <v>0</v>
      </c>
      <c r="I9" s="67">
        <f t="shared" ca="1" si="1"/>
        <v>0</v>
      </c>
    </row>
    <row r="10" spans="1:9" ht="15" x14ac:dyDescent="0.2">
      <c r="A10" s="21">
        <v>11101</v>
      </c>
      <c r="B10" s="23" t="s">
        <v>7</v>
      </c>
      <c r="C10" s="68"/>
      <c r="D10" s="67">
        <f>VLOOKUP(A10,'Master Akun'!A9:E73,4,)</f>
        <v>2500000</v>
      </c>
      <c r="E10" s="67">
        <f>VLOOKUP(A10,'Master Akun'!A9:E73,5,)</f>
        <v>0</v>
      </c>
      <c r="F10" s="67">
        <f ca="1">SUMIF(JU!A10:G120,NS!A10,JU!F10:F120)</f>
        <v>60685750</v>
      </c>
      <c r="G10" s="67">
        <f ca="1">SUMIF(JU!A10:G120,NS!A10,JU!G10:G120)</f>
        <v>412500</v>
      </c>
      <c r="H10" s="67">
        <f t="shared" ca="1" si="0"/>
        <v>62773250</v>
      </c>
      <c r="I10" s="67">
        <f t="shared" ca="1" si="1"/>
        <v>0</v>
      </c>
    </row>
    <row r="11" spans="1:9" ht="15" x14ac:dyDescent="0.2">
      <c r="A11" s="21">
        <v>11102</v>
      </c>
      <c r="B11" s="23" t="s">
        <v>8</v>
      </c>
      <c r="C11" s="68"/>
      <c r="D11" s="67">
        <f>VLOOKUP(A11,'Master Akun'!A10:E74,4,)</f>
        <v>750000</v>
      </c>
      <c r="E11" s="67">
        <f>VLOOKUP(A11,'Master Akun'!A10:E74,5,)</f>
        <v>0</v>
      </c>
      <c r="F11" s="67">
        <f ca="1">SUMIF(JU!A11:G121,NS!A11,JU!F11:F121)</f>
        <v>0</v>
      </c>
      <c r="G11" s="67">
        <f ca="1">SUMIF(JU!A11:G121,NS!A11,JU!G11:G121)</f>
        <v>0</v>
      </c>
      <c r="H11" s="67">
        <f t="shared" ca="1" si="0"/>
        <v>750000</v>
      </c>
      <c r="I11" s="67">
        <f t="shared" ca="1" si="1"/>
        <v>0</v>
      </c>
    </row>
    <row r="12" spans="1:9" ht="15" x14ac:dyDescent="0.2">
      <c r="A12" s="21">
        <v>11200</v>
      </c>
      <c r="B12" s="23" t="s">
        <v>9</v>
      </c>
      <c r="C12" s="68"/>
      <c r="D12" s="67">
        <f>VLOOKUP(A12,'Master Akun'!A11:E75,4,)</f>
        <v>0</v>
      </c>
      <c r="E12" s="67">
        <f>VLOOKUP(A12,'Master Akun'!A11:E75,5,)</f>
        <v>0</v>
      </c>
      <c r="F12" s="67">
        <f ca="1">SUMIF(JU!A12:G122,NS!A12,JU!F12:F122)</f>
        <v>0</v>
      </c>
      <c r="G12" s="67">
        <f ca="1">SUMIF(JU!A12:G122,NS!A12,JU!G12:G122)</f>
        <v>0</v>
      </c>
      <c r="H12" s="67">
        <f t="shared" ca="1" si="0"/>
        <v>0</v>
      </c>
      <c r="I12" s="67">
        <f t="shared" ca="1" si="1"/>
        <v>0</v>
      </c>
    </row>
    <row r="13" spans="1:9" ht="15" x14ac:dyDescent="0.2">
      <c r="A13" s="21">
        <v>11201</v>
      </c>
      <c r="B13" s="23" t="s">
        <v>10</v>
      </c>
      <c r="C13" s="68"/>
      <c r="D13" s="67">
        <f>VLOOKUP(A13,'Master Akun'!A12:E76,4,)</f>
        <v>45000000</v>
      </c>
      <c r="E13" s="67">
        <f>VLOOKUP(A13,'Master Akun'!A12:E76,5,)</f>
        <v>0</v>
      </c>
      <c r="F13" s="67">
        <f ca="1">SUMIF(JU!A13:G123,NS!A13,JU!F13:F123)</f>
        <v>45900000</v>
      </c>
      <c r="G13" s="67">
        <f ca="1">SUMIF(JU!A7:G117,NS!A13,JU!G7:G117)</f>
        <v>69025000</v>
      </c>
      <c r="H13" s="67">
        <f t="shared" ca="1" si="0"/>
        <v>21875000</v>
      </c>
      <c r="I13" s="67">
        <f t="shared" ca="1" si="1"/>
        <v>0</v>
      </c>
    </row>
    <row r="14" spans="1:9" ht="15" x14ac:dyDescent="0.2">
      <c r="A14" s="21">
        <v>11202</v>
      </c>
      <c r="B14" s="23" t="s">
        <v>11</v>
      </c>
      <c r="C14" s="68"/>
      <c r="D14" s="67">
        <f>VLOOKUP(A14,'Master Akun'!A13:E77,4,)</f>
        <v>25000000</v>
      </c>
      <c r="E14" s="67">
        <f>VLOOKUP(A14,'Master Akun'!A13:E77,5,)</f>
        <v>0</v>
      </c>
      <c r="F14" s="67">
        <f ca="1">SUMIF(JU!A14:G124,NS!A14,JU!F14:F124)</f>
        <v>71899000</v>
      </c>
      <c r="G14" s="67">
        <f ca="1">SUMIF(JU!A14:G124,NS!A14,JU!G14:G124)</f>
        <v>44887500</v>
      </c>
      <c r="H14" s="67">
        <f t="shared" ca="1" si="0"/>
        <v>52011500</v>
      </c>
      <c r="I14" s="67">
        <f t="shared" ca="1" si="1"/>
        <v>0</v>
      </c>
    </row>
    <row r="15" spans="1:9" ht="15" x14ac:dyDescent="0.2">
      <c r="A15" s="21">
        <v>11300</v>
      </c>
      <c r="B15" s="23" t="s">
        <v>12</v>
      </c>
      <c r="C15" s="68"/>
      <c r="D15" s="67">
        <f>VLOOKUP(A15,'Master Akun'!A14:E78,4,)</f>
        <v>0</v>
      </c>
      <c r="E15" s="67">
        <f>VLOOKUP(A15,'Master Akun'!A14:E78,5,)</f>
        <v>0</v>
      </c>
      <c r="F15" s="67">
        <f ca="1">SUMIF(JU!A15:G125,NS!A15,JU!F15:F125)</f>
        <v>0</v>
      </c>
      <c r="G15" s="67">
        <f ca="1">SUMIF(JU!A15:G125,NS!A15,JU!G15:G125)</f>
        <v>0</v>
      </c>
      <c r="H15" s="67">
        <f t="shared" ca="1" si="0"/>
        <v>0</v>
      </c>
      <c r="I15" s="67">
        <f t="shared" ca="1" si="1"/>
        <v>0</v>
      </c>
    </row>
    <row r="16" spans="1:9" ht="15" x14ac:dyDescent="0.2">
      <c r="A16" s="21">
        <v>11301</v>
      </c>
      <c r="B16" s="23" t="s">
        <v>13</v>
      </c>
      <c r="C16" s="68"/>
      <c r="D16" s="67">
        <f>VLOOKUP(A16,'Master Akun'!A15:E79,4,)</f>
        <v>47500000</v>
      </c>
      <c r="E16" s="67">
        <f>VLOOKUP(A16,'Master Akun'!A15:E79,5,)</f>
        <v>0</v>
      </c>
      <c r="F16" s="67">
        <f ca="1">SUMIF(JU!A16:G126,NS!A16,JU!F16:F126)</f>
        <v>59960000</v>
      </c>
      <c r="G16" s="67">
        <f ca="1">SUMIF(JU!A16:G126,NS!A16,JU!G16:G126)</f>
        <v>49425000</v>
      </c>
      <c r="H16" s="67">
        <f t="shared" ca="1" si="0"/>
        <v>58035000</v>
      </c>
      <c r="I16" s="67">
        <f t="shared" ca="1" si="1"/>
        <v>0</v>
      </c>
    </row>
    <row r="17" spans="1:9" ht="15" x14ac:dyDescent="0.2">
      <c r="A17" s="21">
        <v>11302</v>
      </c>
      <c r="B17" s="23" t="s">
        <v>14</v>
      </c>
      <c r="C17" s="68"/>
      <c r="D17" s="67">
        <f>VLOOKUP(A17,'Master Akun'!A16:E80,4,)</f>
        <v>0</v>
      </c>
      <c r="E17" s="67">
        <f>VLOOKUP(A17,'Master Akun'!A16:E80,5,)</f>
        <v>0</v>
      </c>
      <c r="F17" s="67">
        <f ca="1">SUMIF(JU!A17:G127,NS!A17,JU!F17:F127)</f>
        <v>0</v>
      </c>
      <c r="G17" s="67">
        <f ca="1">SUMIF(JU!A17:G127,NS!A17,JU!G17:G127)</f>
        <v>2901750</v>
      </c>
      <c r="H17" s="67">
        <f t="shared" ca="1" si="0"/>
        <v>0</v>
      </c>
      <c r="I17" s="67">
        <f t="shared" ca="1" si="1"/>
        <v>2901750</v>
      </c>
    </row>
    <row r="18" spans="1:9" ht="15" x14ac:dyDescent="0.2">
      <c r="A18" s="21">
        <v>11400</v>
      </c>
      <c r="B18" s="23" t="s">
        <v>15</v>
      </c>
      <c r="C18" s="68"/>
      <c r="D18" s="67">
        <f>VLOOKUP(A18,'Master Akun'!A17:E81,4,)</f>
        <v>0</v>
      </c>
      <c r="E18" s="67">
        <f>VLOOKUP(A18,'Master Akun'!A17:E81,5,)</f>
        <v>0</v>
      </c>
      <c r="F18" s="67">
        <f ca="1">SUMIF(JU!A18:G128,NS!A18,JU!F18:F128)</f>
        <v>0</v>
      </c>
      <c r="G18" s="67">
        <f ca="1">SUMIF(JU!A18:G128,NS!A18,JU!G18:G128)</f>
        <v>0</v>
      </c>
      <c r="H18" s="67">
        <f t="shared" ca="1" si="0"/>
        <v>0</v>
      </c>
      <c r="I18" s="67">
        <f t="shared" ca="1" si="1"/>
        <v>0</v>
      </c>
    </row>
    <row r="19" spans="1:9" ht="15" x14ac:dyDescent="0.2">
      <c r="A19" s="21">
        <v>11401</v>
      </c>
      <c r="B19" s="23" t="s">
        <v>16</v>
      </c>
      <c r="C19" s="68"/>
      <c r="D19" s="67">
        <f>VLOOKUP(A19,'Master Akun'!A18:E82,4,)</f>
        <v>0</v>
      </c>
      <c r="E19" s="67">
        <f>VLOOKUP(A19,'Master Akun'!A18:E82,5,)</f>
        <v>0</v>
      </c>
      <c r="F19" s="67">
        <f ca="1">SUMIF(JU!A19:G129,NS!A19,JU!F19:F129)</f>
        <v>2500000</v>
      </c>
      <c r="G19" s="67">
        <f ca="1">SUMIF(JU!A19:G129,NS!A19,JU!G19:G129)</f>
        <v>500000</v>
      </c>
      <c r="H19" s="67">
        <f t="shared" ca="1" si="0"/>
        <v>2000000</v>
      </c>
      <c r="I19" s="67">
        <f t="shared" ca="1" si="1"/>
        <v>0</v>
      </c>
    </row>
    <row r="20" spans="1:9" ht="15" x14ac:dyDescent="0.2">
      <c r="A20" s="21">
        <v>11500</v>
      </c>
      <c r="B20" s="23" t="s">
        <v>17</v>
      </c>
      <c r="C20" s="68"/>
      <c r="D20" s="67">
        <f>VLOOKUP(A20,'Master Akun'!A19:E83,4,)</f>
        <v>166380000</v>
      </c>
      <c r="E20" s="67">
        <f>VLOOKUP(A20,'Master Akun'!A19:E83,5,)</f>
        <v>0</v>
      </c>
      <c r="F20" s="67">
        <f ca="1">SUMIF(JU!A20:G130,NS!A20,JU!F20:F130)</f>
        <v>23475000</v>
      </c>
      <c r="G20" s="67">
        <f ca="1">SUMIF(JU!A7:G117,NS!A20,JU!G7:G117)</f>
        <v>118390000</v>
      </c>
      <c r="H20" s="67">
        <f t="shared" ca="1" si="0"/>
        <v>71465000</v>
      </c>
      <c r="I20" s="67">
        <f t="shared" ca="1" si="1"/>
        <v>0</v>
      </c>
    </row>
    <row r="21" spans="1:9" ht="15" x14ac:dyDescent="0.2">
      <c r="A21" s="21">
        <v>11600</v>
      </c>
      <c r="B21" s="23" t="s">
        <v>18</v>
      </c>
      <c r="C21" s="68"/>
      <c r="D21" s="67">
        <f>VLOOKUP(A21,'Master Akun'!A20:E84,4,)</f>
        <v>0</v>
      </c>
      <c r="E21" s="67">
        <f>VLOOKUP(A21,'Master Akun'!A20:E84,5,)</f>
        <v>0</v>
      </c>
      <c r="F21" s="67">
        <f ca="1">SUMIF(JU!A21:G131,NS!A21,JU!F21:F131)</f>
        <v>0</v>
      </c>
      <c r="G21" s="67">
        <f ca="1">SUMIF(JU!A21:G131,NS!A21,JU!G21:G131)</f>
        <v>0</v>
      </c>
      <c r="H21" s="67">
        <f t="shared" ca="1" si="0"/>
        <v>0</v>
      </c>
      <c r="I21" s="67">
        <f t="shared" ca="1" si="1"/>
        <v>0</v>
      </c>
    </row>
    <row r="22" spans="1:9" ht="15" x14ac:dyDescent="0.2">
      <c r="A22" s="21">
        <v>11601</v>
      </c>
      <c r="B22" s="23" t="s">
        <v>19</v>
      </c>
      <c r="C22" s="68"/>
      <c r="D22" s="67">
        <f>VLOOKUP(A22,'Master Akun'!A21:E85,4,)</f>
        <v>0</v>
      </c>
      <c r="E22" s="67">
        <f>VLOOKUP(A22,'Master Akun'!A21:E85,5,)</f>
        <v>0</v>
      </c>
      <c r="F22" s="67">
        <f ca="1">SUMIF(JU!A22:G132,NS!A22,JU!F22:F132)</f>
        <v>2425000</v>
      </c>
      <c r="G22" s="67">
        <f ca="1">SUMIF(JU!A22:G132,NS!A22,JU!G22:G132)</f>
        <v>32500</v>
      </c>
      <c r="H22" s="67">
        <f t="shared" ca="1" si="0"/>
        <v>2392500</v>
      </c>
      <c r="I22" s="67">
        <f t="shared" ca="1" si="1"/>
        <v>0</v>
      </c>
    </row>
    <row r="23" spans="1:9" ht="15" x14ac:dyDescent="0.2">
      <c r="A23" s="21">
        <v>11602</v>
      </c>
      <c r="B23" s="23" t="s">
        <v>20</v>
      </c>
      <c r="C23" s="68"/>
      <c r="D23" s="67">
        <f>VLOOKUP(A23,'Master Akun'!A22:E86,4,)</f>
        <v>0</v>
      </c>
      <c r="E23" s="67">
        <f>VLOOKUP(A23,'Master Akun'!A22:E86,5,)</f>
        <v>0</v>
      </c>
      <c r="F23" s="67">
        <f ca="1">SUMIF(JU!A7:G117,NS!A23,JU!F7:F117)</f>
        <v>6000000</v>
      </c>
      <c r="G23" s="67">
        <f ca="1">SUMIF(JU!A23:G133,NS!A23,JU!G23:G133)</f>
        <v>6000000</v>
      </c>
      <c r="H23" s="67">
        <f t="shared" ca="1" si="0"/>
        <v>0</v>
      </c>
      <c r="I23" s="67">
        <f t="shared" ca="1" si="1"/>
        <v>0</v>
      </c>
    </row>
    <row r="24" spans="1:9" ht="15" x14ac:dyDescent="0.2">
      <c r="A24" s="21">
        <v>12000</v>
      </c>
      <c r="B24" s="23" t="s">
        <v>21</v>
      </c>
      <c r="C24" s="68"/>
      <c r="D24" s="67">
        <f>VLOOKUP(A24,'Master Akun'!A23:E87,4,)</f>
        <v>0</v>
      </c>
      <c r="E24" s="67">
        <f>VLOOKUP(A24,'Master Akun'!A23:E87,5,)</f>
        <v>0</v>
      </c>
      <c r="F24" s="67">
        <f ca="1">SUMIF(JU!A24:G134,NS!A24,JU!F24:F134)</f>
        <v>0</v>
      </c>
      <c r="G24" s="67">
        <f ca="1">SUMIF(JU!A24:G134,NS!A24,JU!G24:G134)</f>
        <v>0</v>
      </c>
      <c r="H24" s="67">
        <f t="shared" ca="1" si="0"/>
        <v>0</v>
      </c>
      <c r="I24" s="67">
        <f t="shared" ca="1" si="1"/>
        <v>0</v>
      </c>
    </row>
    <row r="25" spans="1:9" ht="15" x14ac:dyDescent="0.2">
      <c r="A25" s="21">
        <v>12100</v>
      </c>
      <c r="B25" s="23" t="s">
        <v>22</v>
      </c>
      <c r="C25" s="68"/>
      <c r="D25" s="67">
        <f>VLOOKUP(A25,'Master Akun'!A24:E88,4,)</f>
        <v>0</v>
      </c>
      <c r="E25" s="67">
        <f>VLOOKUP(A25,'Master Akun'!A24:E88,5,)</f>
        <v>0</v>
      </c>
      <c r="F25" s="67">
        <f ca="1">SUMIF(JU!A25:G135,NS!A25,JU!F25:F135)</f>
        <v>0</v>
      </c>
      <c r="G25" s="67">
        <f ca="1">SUMIF(JU!A25:G135,NS!A25,JU!G25:G135)</f>
        <v>0</v>
      </c>
      <c r="H25" s="67">
        <f t="shared" ca="1" si="0"/>
        <v>0</v>
      </c>
      <c r="I25" s="67">
        <f t="shared" ca="1" si="1"/>
        <v>0</v>
      </c>
    </row>
    <row r="26" spans="1:9" ht="15" x14ac:dyDescent="0.2">
      <c r="A26" s="21">
        <v>12101</v>
      </c>
      <c r="B26" s="23" t="s">
        <v>23</v>
      </c>
      <c r="C26" s="68"/>
      <c r="D26" s="67">
        <f>VLOOKUP(A26,'Master Akun'!A25:E89,4,)</f>
        <v>25000000</v>
      </c>
      <c r="E26" s="67">
        <f>VLOOKUP(A26,'Master Akun'!A25:E89,5,)</f>
        <v>0</v>
      </c>
      <c r="F26" s="67">
        <f ca="1">SUMIF(JU!A26:G136,NS!A26,JU!F26:F136)</f>
        <v>0</v>
      </c>
      <c r="G26" s="67">
        <f ca="1">SUMIF(JU!A26:G136,NS!A26,JU!G26:G136)</f>
        <v>0</v>
      </c>
      <c r="H26" s="67">
        <f t="shared" ca="1" si="0"/>
        <v>25000000</v>
      </c>
      <c r="I26" s="67">
        <f t="shared" ca="1" si="1"/>
        <v>0</v>
      </c>
    </row>
    <row r="27" spans="1:9" ht="15" x14ac:dyDescent="0.2">
      <c r="A27" s="21">
        <v>12102</v>
      </c>
      <c r="B27" s="23" t="s">
        <v>24</v>
      </c>
      <c r="C27" s="68"/>
      <c r="D27" s="67">
        <f>VLOOKUP(A27,'Master Akun'!A26:E90,4,)</f>
        <v>0</v>
      </c>
      <c r="E27" s="67">
        <f>VLOOKUP(A27,'Master Akun'!A26:E90,5,)</f>
        <v>7500000</v>
      </c>
      <c r="F27" s="67">
        <f ca="1">SUMIF(JU!A27:G137,NS!A27,JU!F27:F137)</f>
        <v>0</v>
      </c>
      <c r="G27" s="67">
        <f ca="1">SUMIF(JU!A27:G137,NS!A27,JU!G27:G137)</f>
        <v>400000</v>
      </c>
      <c r="H27" s="67">
        <f t="shared" ca="1" si="0"/>
        <v>0</v>
      </c>
      <c r="I27" s="67">
        <f t="shared" ca="1" si="1"/>
        <v>7900000</v>
      </c>
    </row>
    <row r="28" spans="1:9" ht="15" x14ac:dyDescent="0.2">
      <c r="A28" s="21">
        <v>12200</v>
      </c>
      <c r="B28" s="23" t="s">
        <v>25</v>
      </c>
      <c r="C28" s="68"/>
      <c r="D28" s="67">
        <f>VLOOKUP(A28,'Master Akun'!A27:E91,4,)</f>
        <v>0</v>
      </c>
      <c r="E28" s="67">
        <f>VLOOKUP(A28,'Master Akun'!A27:E91,5,)</f>
        <v>0</v>
      </c>
      <c r="F28" s="67">
        <f ca="1">SUMIF(JU!A28:G138,NS!A28,JU!F28:F138)</f>
        <v>0</v>
      </c>
      <c r="G28" s="67">
        <f ca="1">SUMIF(JU!A28:G138,NS!A28,JU!G28:G138)</f>
        <v>0</v>
      </c>
      <c r="H28" s="67">
        <f t="shared" ca="1" si="0"/>
        <v>0</v>
      </c>
      <c r="I28" s="67">
        <f t="shared" ca="1" si="1"/>
        <v>0</v>
      </c>
    </row>
    <row r="29" spans="1:9" ht="15" x14ac:dyDescent="0.2">
      <c r="A29" s="21">
        <v>12201</v>
      </c>
      <c r="B29" s="23" t="s">
        <v>26</v>
      </c>
      <c r="C29" s="68"/>
      <c r="D29" s="67">
        <f>VLOOKUP(A29,'Master Akun'!A28:E92,4,)</f>
        <v>45000000</v>
      </c>
      <c r="E29" s="67">
        <f>VLOOKUP(A29,'Master Akun'!A28:E92,5,)</f>
        <v>0</v>
      </c>
      <c r="F29" s="67">
        <f ca="1">SUMIF(JU!A29:G139,NS!A29,JU!F29:F139)</f>
        <v>11500000</v>
      </c>
      <c r="G29" s="67">
        <f ca="1">SUMIF(JU!A29:G139,NS!A29,JU!G29:G139)</f>
        <v>6000000</v>
      </c>
      <c r="H29" s="67">
        <f t="shared" ca="1" si="0"/>
        <v>50500000</v>
      </c>
      <c r="I29" s="67">
        <f t="shared" ca="1" si="1"/>
        <v>0</v>
      </c>
    </row>
    <row r="30" spans="1:9" ht="15" x14ac:dyDescent="0.2">
      <c r="A30" s="21">
        <v>12202</v>
      </c>
      <c r="B30" s="23" t="s">
        <v>27</v>
      </c>
      <c r="C30" s="68"/>
      <c r="D30" s="67">
        <f>VLOOKUP(A30,'Master Akun'!A29:E93,4,)</f>
        <v>0</v>
      </c>
      <c r="E30" s="67">
        <f>VLOOKUP(A30,'Master Akun'!A29:E93,5,)</f>
        <v>25000000</v>
      </c>
      <c r="F30" s="67">
        <f ca="1">SUMIF(JU!A30:G140,NS!A30,JU!F30:F140)</f>
        <v>1500000</v>
      </c>
      <c r="G30" s="67">
        <f ca="1">SUMIF(JU!A30:G140,NS!A30,JU!G30:G140)</f>
        <v>500000</v>
      </c>
      <c r="H30" s="67">
        <f t="shared" ca="1" si="0"/>
        <v>0</v>
      </c>
      <c r="I30" s="67">
        <f t="shared" ca="1" si="1"/>
        <v>24000000</v>
      </c>
    </row>
    <row r="31" spans="1:9" ht="15" x14ac:dyDescent="0.2">
      <c r="A31" s="18">
        <v>20000</v>
      </c>
      <c r="B31" s="27" t="s">
        <v>28</v>
      </c>
      <c r="C31" s="68"/>
      <c r="D31" s="67">
        <f>VLOOKUP(A31,'Master Akun'!A30:E94,4,)</f>
        <v>0</v>
      </c>
      <c r="E31" s="67">
        <f>VLOOKUP(A31,'Master Akun'!A30:E94,5,)</f>
        <v>0</v>
      </c>
      <c r="F31" s="67">
        <f ca="1">SUMIF(JU!A31:G141,NS!A31,JU!F31:F141)</f>
        <v>0</v>
      </c>
      <c r="G31" s="67">
        <f ca="1">SUMIF(JU!A31:G141,NS!A31,JU!G31:G141)</f>
        <v>0</v>
      </c>
      <c r="H31" s="67">
        <f t="shared" ca="1" si="0"/>
        <v>0</v>
      </c>
      <c r="I31" s="67">
        <f t="shared" ca="1" si="1"/>
        <v>0</v>
      </c>
    </row>
    <row r="32" spans="1:9" ht="15" x14ac:dyDescent="0.2">
      <c r="A32" s="21">
        <v>21000</v>
      </c>
      <c r="B32" s="23" t="s">
        <v>29</v>
      </c>
      <c r="C32" s="68"/>
      <c r="D32" s="67">
        <f>VLOOKUP(A32,'Master Akun'!A31:E95,4,)</f>
        <v>0</v>
      </c>
      <c r="E32" s="67">
        <f>VLOOKUP(A32,'Master Akun'!A31:E95,5,)</f>
        <v>0</v>
      </c>
      <c r="F32" s="67">
        <f ca="1">SUMIF(JU!A32:G142,NS!A32,JU!F32:F142)</f>
        <v>0</v>
      </c>
      <c r="G32" s="67">
        <f ca="1">SUMIF(JU!A32:G142,NS!A32,JU!G32:G142)</f>
        <v>0</v>
      </c>
      <c r="H32" s="67">
        <f t="shared" ca="1" si="0"/>
        <v>0</v>
      </c>
      <c r="I32" s="67">
        <f t="shared" ca="1" si="1"/>
        <v>0</v>
      </c>
    </row>
    <row r="33" spans="1:9" ht="15" x14ac:dyDescent="0.2">
      <c r="A33" s="21">
        <v>21100</v>
      </c>
      <c r="B33" s="23" t="s">
        <v>30</v>
      </c>
      <c r="C33" s="68"/>
      <c r="D33" s="67">
        <f>VLOOKUP(A33,'Master Akun'!A32:E96,4,)</f>
        <v>0</v>
      </c>
      <c r="E33" s="67">
        <f>VLOOKUP(A33,'Master Akun'!A32:E96,5,)</f>
        <v>75000000</v>
      </c>
      <c r="F33" s="67">
        <f ca="1">SUMIF(JU!A7:G117,NS!A33,JU!F7:F117)</f>
        <v>46357500</v>
      </c>
      <c r="G33" s="67">
        <f ca="1">SUMIF(JU!A7:G117,NS!A33,JU!G7:G117)</f>
        <v>17925000</v>
      </c>
      <c r="H33" s="67">
        <f t="shared" ca="1" si="0"/>
        <v>0</v>
      </c>
      <c r="I33" s="67">
        <f t="shared" ca="1" si="1"/>
        <v>46567500</v>
      </c>
    </row>
    <row r="34" spans="1:9" ht="15" x14ac:dyDescent="0.2">
      <c r="A34" s="21">
        <v>21200</v>
      </c>
      <c r="B34" s="23" t="s">
        <v>31</v>
      </c>
      <c r="C34" s="68"/>
      <c r="D34" s="67">
        <f>VLOOKUP(A34,'Master Akun'!A33:E97,4,)</f>
        <v>0</v>
      </c>
      <c r="E34" s="67">
        <f>VLOOKUP(A34,'Master Akun'!A33:E97,5,)</f>
        <v>0</v>
      </c>
      <c r="F34" s="67">
        <f ca="1">SUMIF(JU!A34:G144,NS!A34,JU!F34:F144)</f>
        <v>0</v>
      </c>
      <c r="G34" s="67">
        <f ca="1">SUMIF(JU!A34:G144,NS!A34,JU!G34:G144)</f>
        <v>200000</v>
      </c>
      <c r="H34" s="67">
        <f t="shared" ca="1" si="0"/>
        <v>0</v>
      </c>
      <c r="I34" s="67">
        <f t="shared" ca="1" si="1"/>
        <v>200000</v>
      </c>
    </row>
    <row r="35" spans="1:9" ht="15" x14ac:dyDescent="0.2">
      <c r="A35" s="21">
        <v>21300</v>
      </c>
      <c r="B35" s="23" t="s">
        <v>32</v>
      </c>
      <c r="C35" s="68"/>
      <c r="D35" s="67">
        <f>VLOOKUP(A35,'Master Akun'!A34:E98,4,)</f>
        <v>0</v>
      </c>
      <c r="E35" s="67">
        <f>VLOOKUP(A35,'Master Akun'!A34:E98,5,)</f>
        <v>0</v>
      </c>
      <c r="F35" s="67">
        <f ca="1">SUMIF(JU!A35:G145,NS!A35,JU!F35:F145)</f>
        <v>0</v>
      </c>
      <c r="G35" s="67">
        <f ca="1">SUMIF(JU!A35:G145,NS!A35,JU!G35:G145)</f>
        <v>1500000</v>
      </c>
      <c r="H35" s="67">
        <f t="shared" ca="1" si="0"/>
        <v>0</v>
      </c>
      <c r="I35" s="67">
        <f t="shared" ca="1" si="1"/>
        <v>1500000</v>
      </c>
    </row>
    <row r="36" spans="1:9" ht="15" x14ac:dyDescent="0.2">
      <c r="A36" s="21">
        <v>21400</v>
      </c>
      <c r="B36" s="23" t="s">
        <v>33</v>
      </c>
      <c r="C36" s="68"/>
      <c r="D36" s="67">
        <f>VLOOKUP(A36,'Master Akun'!A35:E99,4,)</f>
        <v>0</v>
      </c>
      <c r="E36" s="67">
        <f>VLOOKUP(A36,'Master Akun'!A35:E99,5,)</f>
        <v>0</v>
      </c>
      <c r="F36" s="67">
        <f ca="1">SUMIF(JU!A36:G146,NS!A36,JU!F36:F146)</f>
        <v>0</v>
      </c>
      <c r="G36" s="67">
        <f ca="1">SUMIF(JU!A36:G146,NS!A36,JU!G36:G146)</f>
        <v>0</v>
      </c>
      <c r="H36" s="67">
        <f t="shared" ca="1" si="0"/>
        <v>0</v>
      </c>
      <c r="I36" s="67">
        <f t="shared" ca="1" si="1"/>
        <v>0</v>
      </c>
    </row>
    <row r="37" spans="1:9" ht="15" x14ac:dyDescent="0.2">
      <c r="A37" s="21">
        <v>21401</v>
      </c>
      <c r="B37" s="23" t="s">
        <v>34</v>
      </c>
      <c r="C37" s="68"/>
      <c r="D37" s="67">
        <f>VLOOKUP(A37,'Master Akun'!A36:E100,4,)</f>
        <v>0</v>
      </c>
      <c r="E37" s="67">
        <f>VLOOKUP(A37,'Master Akun'!A36:E100,5,)</f>
        <v>0</v>
      </c>
      <c r="F37" s="67">
        <f ca="1">SUMIF(JU!A37:G147,NS!A37,JU!F37:F147)</f>
        <v>0</v>
      </c>
      <c r="G37" s="67">
        <f ca="1">SUMIF(JU!A37:G147,NS!A37,JU!G37:G147)</f>
        <v>725000</v>
      </c>
      <c r="H37" s="67">
        <f t="shared" ca="1" si="0"/>
        <v>0</v>
      </c>
      <c r="I37" s="67">
        <f t="shared" ca="1" si="1"/>
        <v>725000</v>
      </c>
    </row>
    <row r="38" spans="1:9" ht="15" x14ac:dyDescent="0.2">
      <c r="A38" s="21">
        <v>21402</v>
      </c>
      <c r="B38" s="23" t="s">
        <v>35</v>
      </c>
      <c r="C38" s="68"/>
      <c r="D38" s="67">
        <f>VLOOKUP(A38,'Master Akun'!A37:E101,4,)</f>
        <v>0</v>
      </c>
      <c r="E38" s="67">
        <f>VLOOKUP(A38,'Master Akun'!A37:E101,5,)</f>
        <v>0</v>
      </c>
      <c r="F38" s="67">
        <f ca="1">SUMIF(JU!A38:G148,NS!A38,JU!F38:F148)</f>
        <v>0</v>
      </c>
      <c r="G38" s="67">
        <f ca="1">SUMIF(JU!A38:G148,NS!A38,JU!G38:G148)</f>
        <v>250000</v>
      </c>
      <c r="H38" s="67">
        <f t="shared" ca="1" si="0"/>
        <v>0</v>
      </c>
      <c r="I38" s="67">
        <f t="shared" ca="1" si="1"/>
        <v>250000</v>
      </c>
    </row>
    <row r="39" spans="1:9" ht="15" x14ac:dyDescent="0.2">
      <c r="A39" s="21">
        <v>21403</v>
      </c>
      <c r="B39" s="23" t="s">
        <v>36</v>
      </c>
      <c r="C39" s="68"/>
      <c r="D39" s="67">
        <f>VLOOKUP(A39,'Master Akun'!A38:E102,4,)</f>
        <v>0</v>
      </c>
      <c r="E39" s="67">
        <f>VLOOKUP(A39,'Master Akun'!A38:E102,5,)</f>
        <v>0</v>
      </c>
      <c r="F39" s="67">
        <f ca="1">SUMIF(JU!A39:G149,NS!A39,JU!F39:F149)</f>
        <v>212500</v>
      </c>
      <c r="G39" s="67">
        <f ca="1">SUMIF(JU!A7:G117,NS!A39,JU!G7:G117)</f>
        <v>14182250</v>
      </c>
      <c r="H39" s="67">
        <f t="shared" ca="1" si="0"/>
        <v>0</v>
      </c>
      <c r="I39" s="67">
        <f t="shared" ca="1" si="1"/>
        <v>13969750</v>
      </c>
    </row>
    <row r="40" spans="1:9" ht="15" x14ac:dyDescent="0.2">
      <c r="A40" s="21">
        <v>22000</v>
      </c>
      <c r="B40" s="23" t="s">
        <v>37</v>
      </c>
      <c r="C40" s="68"/>
      <c r="D40" s="67">
        <f>VLOOKUP(A40,'Master Akun'!A39:E103,4,)</f>
        <v>0</v>
      </c>
      <c r="E40" s="67">
        <f>VLOOKUP(A40,'Master Akun'!A39:E103,5,)</f>
        <v>0</v>
      </c>
      <c r="F40" s="67">
        <f ca="1">SUMIF(JU!A40:G150,NS!A40,JU!F40:F150)</f>
        <v>0</v>
      </c>
      <c r="G40" s="67">
        <f ca="1">SUMIF(JU!A40:G150,NS!A40,JU!G40:G150)</f>
        <v>0</v>
      </c>
      <c r="H40" s="67">
        <f t="shared" ca="1" si="0"/>
        <v>0</v>
      </c>
      <c r="I40" s="67">
        <f t="shared" ca="1" si="1"/>
        <v>0</v>
      </c>
    </row>
    <row r="41" spans="1:9" ht="15" x14ac:dyDescent="0.2">
      <c r="A41" s="21">
        <v>22001</v>
      </c>
      <c r="B41" s="23" t="s">
        <v>38</v>
      </c>
      <c r="C41" s="68"/>
      <c r="D41" s="67">
        <f>VLOOKUP(A41,'Master Akun'!A40:E104,4,)</f>
        <v>0</v>
      </c>
      <c r="E41" s="67">
        <f>VLOOKUP(A41,'Master Akun'!A40:E104,5,)</f>
        <v>75000000</v>
      </c>
      <c r="F41" s="67">
        <f ca="1">SUMIF(JU!A41:G151,NS!A41,JU!F41:F151)</f>
        <v>0</v>
      </c>
      <c r="G41" s="67">
        <f ca="1">SUMIF(JU!A41:G151,NS!A41,JU!G41:G151)</f>
        <v>0</v>
      </c>
      <c r="H41" s="67">
        <f t="shared" ca="1" si="0"/>
        <v>0</v>
      </c>
      <c r="I41" s="67">
        <f t="shared" ca="1" si="1"/>
        <v>75000000</v>
      </c>
    </row>
    <row r="42" spans="1:9" ht="15" x14ac:dyDescent="0.2">
      <c r="A42" s="18">
        <v>30000</v>
      </c>
      <c r="B42" s="27" t="s">
        <v>39</v>
      </c>
      <c r="C42" s="68"/>
      <c r="D42" s="67">
        <f>VLOOKUP(A42,'Master Akun'!A41:E105,4,)</f>
        <v>0</v>
      </c>
      <c r="E42" s="67">
        <f>VLOOKUP(A42,'Master Akun'!A41:E105,5,)</f>
        <v>0</v>
      </c>
      <c r="F42" s="67">
        <f ca="1">SUMIF(JU!A42:G152,NS!A42,JU!F42:F152)</f>
        <v>0</v>
      </c>
      <c r="G42" s="67">
        <f ca="1">SUMIF(JU!A42:G152,NS!A42,JU!G42:G152)</f>
        <v>0</v>
      </c>
      <c r="H42" s="67">
        <f t="shared" ca="1" si="0"/>
        <v>0</v>
      </c>
      <c r="I42" s="67">
        <f t="shared" ca="1" si="1"/>
        <v>0</v>
      </c>
    </row>
    <row r="43" spans="1:9" ht="15" x14ac:dyDescent="0.2">
      <c r="A43" s="21">
        <v>31000</v>
      </c>
      <c r="B43" s="23" t="s">
        <v>40</v>
      </c>
      <c r="C43" s="68"/>
      <c r="D43" s="67">
        <f>VLOOKUP(A43,'Master Akun'!A42:E106,4,)</f>
        <v>0</v>
      </c>
      <c r="E43" s="67">
        <f>VLOOKUP(A43,'Master Akun'!A42:E106,5,)</f>
        <v>150000000</v>
      </c>
      <c r="F43" s="67">
        <f ca="1">SUMIF(JU!A43:G153,NS!A43,JU!F43:F153)</f>
        <v>0</v>
      </c>
      <c r="G43" s="67">
        <f ca="1">SUMIF(JU!A43:G153,NS!A43,JU!G43:G153)</f>
        <v>0</v>
      </c>
      <c r="H43" s="67">
        <f t="shared" ca="1" si="0"/>
        <v>0</v>
      </c>
      <c r="I43" s="67">
        <f t="shared" ca="1" si="1"/>
        <v>150000000</v>
      </c>
    </row>
    <row r="44" spans="1:9" ht="15" x14ac:dyDescent="0.2">
      <c r="A44" s="21">
        <v>32000</v>
      </c>
      <c r="B44" s="23" t="s">
        <v>41</v>
      </c>
      <c r="C44" s="68"/>
      <c r="D44" s="67">
        <f>VLOOKUP(A44,'Master Akun'!A43:E107,4,)</f>
        <v>0</v>
      </c>
      <c r="E44" s="67">
        <f>VLOOKUP(A44,'Master Akun'!A43:E107,5,)</f>
        <v>24630000</v>
      </c>
      <c r="F44" s="67">
        <f ca="1">SUMIF(JU!A44:G154,NS!A44,JU!F44:F154)</f>
        <v>0</v>
      </c>
      <c r="G44" s="67">
        <f ca="1">SUMIF(JU!A44:G154,NS!A44,JU!G44:G154)</f>
        <v>0</v>
      </c>
      <c r="H44" s="67">
        <f ca="1">IF(D44+F44&gt;E44+G44,D44+F44-(E44+G44),0)</f>
        <v>0</v>
      </c>
      <c r="I44" s="67">
        <f t="shared" ca="1" si="1"/>
        <v>24630000</v>
      </c>
    </row>
    <row r="45" spans="1:9" ht="15" x14ac:dyDescent="0.2">
      <c r="A45" s="21">
        <v>33000</v>
      </c>
      <c r="B45" s="23" t="s">
        <v>42</v>
      </c>
      <c r="C45" s="68"/>
      <c r="D45" s="67">
        <f>VLOOKUP(A45,'Master Akun'!A44:E108,4,)</f>
        <v>0</v>
      </c>
      <c r="E45" s="67">
        <f>VLOOKUP(A45,'Master Akun'!A44:E108,5,)</f>
        <v>0</v>
      </c>
      <c r="F45" s="67">
        <f ca="1">SUMIF(JU!A45:G155,NS!A45,JU!F45:F155)</f>
        <v>0</v>
      </c>
      <c r="G45" s="67">
        <f ca="1">SUMIF(JU!A45:G155,NS!A45,JU!G45:G155)</f>
        <v>0</v>
      </c>
      <c r="H45" s="67">
        <f t="shared" ca="1" si="0"/>
        <v>0</v>
      </c>
      <c r="I45" s="67">
        <f t="shared" ca="1" si="1"/>
        <v>0</v>
      </c>
    </row>
    <row r="46" spans="1:9" ht="15" x14ac:dyDescent="0.2">
      <c r="A46" s="21">
        <v>39999</v>
      </c>
      <c r="B46" s="23" t="s">
        <v>43</v>
      </c>
      <c r="C46" s="68"/>
      <c r="D46" s="67">
        <f>VLOOKUP(A46,'Master Akun'!A45:E109,4,)</f>
        <v>0</v>
      </c>
      <c r="E46" s="67">
        <f>VLOOKUP(A46,'Master Akun'!A45:E109,5,)</f>
        <v>0</v>
      </c>
      <c r="F46" s="67">
        <f ca="1">SUMIF(JU!A46:G156,NS!A46,JU!F46:F156)</f>
        <v>0</v>
      </c>
      <c r="G46" s="67">
        <f ca="1">SUMIF(JU!A46:G156,NS!A46,JU!G46:G156)</f>
        <v>0</v>
      </c>
      <c r="H46" s="67">
        <f t="shared" ca="1" si="0"/>
        <v>0</v>
      </c>
      <c r="I46" s="67">
        <f t="shared" ca="1" si="1"/>
        <v>0</v>
      </c>
    </row>
    <row r="47" spans="1:9" ht="15" x14ac:dyDescent="0.2">
      <c r="A47" s="18">
        <v>40000</v>
      </c>
      <c r="B47" s="27" t="s">
        <v>44</v>
      </c>
      <c r="C47" s="68"/>
      <c r="D47" s="67">
        <f>VLOOKUP(A47,'Master Akun'!A46:E110,4,)</f>
        <v>0</v>
      </c>
      <c r="E47" s="67">
        <f>VLOOKUP(A47,'Master Akun'!A46:E110,5,)</f>
        <v>0</v>
      </c>
      <c r="F47" s="67">
        <f ca="1">SUMIF(JU!A47:G157,NS!A47,JU!F47:F157)</f>
        <v>0</v>
      </c>
      <c r="G47" s="67">
        <f ca="1">SUMIF(JU!A47:G157,NS!A47,JU!G47:G157)</f>
        <v>0</v>
      </c>
      <c r="H47" s="67">
        <f t="shared" ca="1" si="0"/>
        <v>0</v>
      </c>
      <c r="I47" s="67">
        <f t="shared" ca="1" si="1"/>
        <v>0</v>
      </c>
    </row>
    <row r="48" spans="1:9" ht="15" x14ac:dyDescent="0.2">
      <c r="A48" s="21">
        <v>41000</v>
      </c>
      <c r="B48" s="23" t="s">
        <v>45</v>
      </c>
      <c r="C48" s="68"/>
      <c r="D48" s="67">
        <f>VLOOKUP(A48,'Master Akun'!A47:E111,4,)</f>
        <v>0</v>
      </c>
      <c r="E48" s="67">
        <f>VLOOKUP(A48,'Master Akun'!A47:E111,5,)</f>
        <v>0</v>
      </c>
      <c r="F48" s="67">
        <f ca="1">SUMIF(JU!A48:G158,NS!A48,JU!F48:F158)</f>
        <v>0</v>
      </c>
      <c r="G48" s="67">
        <f ca="1">SUMIF(JU!A7:G117,NS!A48,JU!G7:G117)</f>
        <v>142385000</v>
      </c>
      <c r="H48" s="67">
        <f t="shared" ca="1" si="0"/>
        <v>0</v>
      </c>
      <c r="I48" s="67">
        <f t="shared" ca="1" si="1"/>
        <v>142385000</v>
      </c>
    </row>
    <row r="49" spans="1:9" ht="15" x14ac:dyDescent="0.2">
      <c r="A49" s="21">
        <v>42000</v>
      </c>
      <c r="B49" s="23" t="s">
        <v>46</v>
      </c>
      <c r="C49" s="68"/>
      <c r="D49" s="67">
        <f>VLOOKUP(A49,'Master Akun'!A48:E112,4,)</f>
        <v>0</v>
      </c>
      <c r="E49" s="67">
        <f>VLOOKUP(A49,'Master Akun'!A48:E112,5,)</f>
        <v>0</v>
      </c>
      <c r="F49" s="67">
        <f ca="1">SUMIF(JU!A7:G117,NS!A49,JU!F7:F117)</f>
        <v>2125000</v>
      </c>
      <c r="G49" s="67">
        <f ca="1">SUMIF(JU!A49:G159,NS!A49,JU!G49:G159)</f>
        <v>0</v>
      </c>
      <c r="H49" s="67">
        <f t="shared" ca="1" si="0"/>
        <v>2125000</v>
      </c>
      <c r="I49" s="67">
        <f t="shared" ca="1" si="1"/>
        <v>0</v>
      </c>
    </row>
    <row r="50" spans="1:9" ht="15" x14ac:dyDescent="0.2">
      <c r="A50" s="21">
        <v>43000</v>
      </c>
      <c r="B50" s="23" t="s">
        <v>47</v>
      </c>
      <c r="C50" s="68"/>
      <c r="D50" s="67">
        <f>VLOOKUP(A50,'Master Akun'!A49:E113,4,)</f>
        <v>0</v>
      </c>
      <c r="E50" s="67">
        <f>VLOOKUP(A50,'Master Akun'!A49:E113,5,)</f>
        <v>0</v>
      </c>
      <c r="F50" s="67">
        <f ca="1">SUMIF(JU!A7:G117,NS!A50,JU!F7:F117)</f>
        <v>3022500</v>
      </c>
      <c r="G50" s="67">
        <f ca="1">SUMIF(JU!A50:G160,NS!A50,JU!G50:G160)</f>
        <v>0</v>
      </c>
      <c r="H50" s="67">
        <f t="shared" ca="1" si="0"/>
        <v>3022500</v>
      </c>
      <c r="I50" s="67">
        <f t="shared" ca="1" si="1"/>
        <v>0</v>
      </c>
    </row>
    <row r="51" spans="1:9" ht="15" x14ac:dyDescent="0.2">
      <c r="A51" s="18">
        <v>50000</v>
      </c>
      <c r="B51" s="27" t="s">
        <v>48</v>
      </c>
      <c r="C51" s="68"/>
      <c r="D51" s="67">
        <f>VLOOKUP(A51,'Master Akun'!A50:E114,4,)</f>
        <v>0</v>
      </c>
      <c r="E51" s="67">
        <f>VLOOKUP(A51,'Master Akun'!A50:E114,5,)</f>
        <v>0</v>
      </c>
      <c r="F51" s="67">
        <f ca="1">SUMIF(JU!A51:G161,NS!A51,JU!F51:F161)</f>
        <v>0</v>
      </c>
      <c r="G51" s="67">
        <f ca="1">SUMIF(JU!A51:G161,NS!A51,JU!G51:G161)</f>
        <v>0</v>
      </c>
      <c r="H51" s="67">
        <f t="shared" ca="1" si="0"/>
        <v>0</v>
      </c>
      <c r="I51" s="67">
        <f t="shared" ca="1" si="1"/>
        <v>0</v>
      </c>
    </row>
    <row r="52" spans="1:9" ht="15" x14ac:dyDescent="0.2">
      <c r="A52" s="21">
        <v>51000</v>
      </c>
      <c r="B52" s="23" t="s">
        <v>49</v>
      </c>
      <c r="C52" s="68"/>
      <c r="D52" s="67">
        <f>VLOOKUP(A52,'Master Akun'!A51:E115,4,)</f>
        <v>0</v>
      </c>
      <c r="E52" s="67">
        <f>VLOOKUP(A52,'Master Akun'!A51:E115,5,)</f>
        <v>0</v>
      </c>
      <c r="F52" s="67">
        <f ca="1">SUMIF(JU!A7:G117,NS!A52,JU!F7:F117)</f>
        <v>118065000</v>
      </c>
      <c r="G52" s="67">
        <f ca="1">SUMIF(JU!A7:G117,NS!A52,JU!G7:G117)</f>
        <v>1725000</v>
      </c>
      <c r="H52" s="67">
        <f t="shared" ca="1" si="0"/>
        <v>116340000</v>
      </c>
      <c r="I52" s="67">
        <f t="shared" ca="1" si="1"/>
        <v>0</v>
      </c>
    </row>
    <row r="53" spans="1:9" ht="15" x14ac:dyDescent="0.2">
      <c r="A53" s="18">
        <v>60000</v>
      </c>
      <c r="B53" s="27" t="s">
        <v>50</v>
      </c>
      <c r="C53" s="68"/>
      <c r="D53" s="67">
        <f>VLOOKUP(A53,'Master Akun'!A52:E116,4,)</f>
        <v>0</v>
      </c>
      <c r="E53" s="67">
        <f>VLOOKUP(A53,'Master Akun'!A52:E116,5,)</f>
        <v>0</v>
      </c>
      <c r="F53" s="67">
        <f ca="1">SUMIF(JU!A53:G163,NS!A53,JU!F53:F163)</f>
        <v>0</v>
      </c>
      <c r="G53" s="67">
        <f ca="1">SUMIF(JU!A53:G163,NS!A53,JU!G53:G163)</f>
        <v>0</v>
      </c>
      <c r="H53" s="67">
        <f t="shared" ca="1" si="0"/>
        <v>0</v>
      </c>
      <c r="I53" s="67">
        <f t="shared" ca="1" si="1"/>
        <v>0</v>
      </c>
    </row>
    <row r="54" spans="1:9" ht="15" x14ac:dyDescent="0.2">
      <c r="A54" s="21">
        <v>61001</v>
      </c>
      <c r="B54" s="23" t="s">
        <v>51</v>
      </c>
      <c r="C54" s="68"/>
      <c r="D54" s="67">
        <f>VLOOKUP(A54,'Master Akun'!A53:E117,4,)</f>
        <v>0</v>
      </c>
      <c r="E54" s="67">
        <f>VLOOKUP(A54,'Master Akun'!A53:E117,5,)</f>
        <v>0</v>
      </c>
      <c r="F54" s="67">
        <f ca="1">SUMIF(JU!A54:G164,NS!A54,JU!F54:F164)</f>
        <v>14500000</v>
      </c>
      <c r="G54" s="67">
        <f ca="1">SUMIF(JU!A54:G164,NS!A54,JU!G54:G164)</f>
        <v>0</v>
      </c>
      <c r="H54" s="67">
        <f t="shared" ca="1" si="0"/>
        <v>14500000</v>
      </c>
      <c r="I54" s="67">
        <f t="shared" ca="1" si="1"/>
        <v>0</v>
      </c>
    </row>
    <row r="55" spans="1:9" ht="15" x14ac:dyDescent="0.2">
      <c r="A55" s="21">
        <v>61002</v>
      </c>
      <c r="B55" s="23" t="s">
        <v>52</v>
      </c>
      <c r="C55" s="68"/>
      <c r="D55" s="67">
        <f>VLOOKUP(A55,'Master Akun'!A54:E118,4,)</f>
        <v>0</v>
      </c>
      <c r="E55" s="67">
        <f>VLOOKUP(A55,'Master Akun'!A54:E118,5,)</f>
        <v>0</v>
      </c>
      <c r="F55" s="67">
        <f ca="1">SUMIF(JU!A7:G117,NS!A55,JU!F7:F117)</f>
        <v>2500000</v>
      </c>
      <c r="G55" s="67">
        <f ca="1">SUMIF(JU!A55:G165,NS!A55,JU!G55:G165)</f>
        <v>0</v>
      </c>
      <c r="H55" s="67">
        <f t="shared" ca="1" si="0"/>
        <v>2500000</v>
      </c>
      <c r="I55" s="67">
        <f t="shared" ca="1" si="1"/>
        <v>0</v>
      </c>
    </row>
    <row r="56" spans="1:9" ht="15" x14ac:dyDescent="0.2">
      <c r="A56" s="21">
        <v>61003</v>
      </c>
      <c r="B56" s="23" t="s">
        <v>53</v>
      </c>
      <c r="C56" s="68"/>
      <c r="D56" s="67">
        <f>VLOOKUP(A56,'Master Akun'!A55:E119,4,)</f>
        <v>0</v>
      </c>
      <c r="E56" s="67">
        <f>VLOOKUP(A56,'Master Akun'!A55:E119,5,)</f>
        <v>0</v>
      </c>
      <c r="F56" s="67">
        <f ca="1">SUMIF(JU!A56:G166,NS!A56,JU!F56:F166)</f>
        <v>2901750</v>
      </c>
      <c r="G56" s="67">
        <f ca="1">SUMIF(JU!A56:G166,NS!A56,JU!G56:G166)</f>
        <v>0</v>
      </c>
      <c r="H56" s="67">
        <f t="shared" ca="1" si="0"/>
        <v>2901750</v>
      </c>
      <c r="I56" s="67">
        <f t="shared" ca="1" si="1"/>
        <v>0</v>
      </c>
    </row>
    <row r="57" spans="1:9" ht="15" x14ac:dyDescent="0.2">
      <c r="A57" s="21">
        <v>61004</v>
      </c>
      <c r="B57" s="23" t="s">
        <v>54</v>
      </c>
      <c r="C57" s="68"/>
      <c r="D57" s="67">
        <f>VLOOKUP(A57,'Master Akun'!A56:E120,4,)</f>
        <v>0</v>
      </c>
      <c r="E57" s="67">
        <f>VLOOKUP(A57,'Master Akun'!A56:E120,5,)</f>
        <v>0</v>
      </c>
      <c r="F57" s="67">
        <f ca="1">SUMIF(JU!A7:G117,NS!A57,JU!F7:F117)</f>
        <v>175000</v>
      </c>
      <c r="G57" s="67">
        <f ca="1">SUMIF(JU!A57:G167,NS!A57,JU!G57:G167)</f>
        <v>0</v>
      </c>
      <c r="H57" s="67">
        <f t="shared" ca="1" si="0"/>
        <v>175000</v>
      </c>
      <c r="I57" s="67">
        <f t="shared" ca="1" si="1"/>
        <v>0</v>
      </c>
    </row>
    <row r="58" spans="1:9" ht="15" x14ac:dyDescent="0.2">
      <c r="A58" s="21">
        <v>61005</v>
      </c>
      <c r="B58" s="23" t="s">
        <v>55</v>
      </c>
      <c r="C58" s="68"/>
      <c r="D58" s="67">
        <f>VLOOKUP(A58,'Master Akun'!A57:E121,4,)</f>
        <v>0</v>
      </c>
      <c r="E58" s="67">
        <f>VLOOKUP(A58,'Master Akun'!A57:E121,5,)</f>
        <v>0</v>
      </c>
      <c r="F58" s="67">
        <f ca="1">SUMIF(JU!A8:G118,NS!A58,JU!F8:F118)</f>
        <v>212500</v>
      </c>
      <c r="G58" s="67">
        <f ca="1">SUMIF(JU!A58:G168,NS!A58,JU!G58:G168)</f>
        <v>0</v>
      </c>
      <c r="H58" s="67">
        <f t="shared" ca="1" si="0"/>
        <v>212500</v>
      </c>
      <c r="I58" s="67">
        <f t="shared" ca="1" si="1"/>
        <v>0</v>
      </c>
    </row>
    <row r="59" spans="1:9" ht="15" x14ac:dyDescent="0.2">
      <c r="A59" s="21">
        <v>61006</v>
      </c>
      <c r="B59" s="23" t="s">
        <v>56</v>
      </c>
      <c r="C59" s="68"/>
      <c r="D59" s="67">
        <f>VLOOKUP(A59,'Master Akun'!A58:E122,4,)</f>
        <v>0</v>
      </c>
      <c r="E59" s="67">
        <f>VLOOKUP(A59,'Master Akun'!A58:E122,5,)</f>
        <v>0</v>
      </c>
      <c r="F59" s="67">
        <f ca="1">SUMIF(JU!A59:G169,NS!A59,JU!F59:F169)</f>
        <v>400000</v>
      </c>
      <c r="G59" s="67">
        <f ca="1">SUMIF(JU!A59:G169,NS!A59,JU!G59:G169)</f>
        <v>0</v>
      </c>
      <c r="H59" s="67">
        <f t="shared" ca="1" si="0"/>
        <v>400000</v>
      </c>
      <c r="I59" s="67">
        <f t="shared" ca="1" si="1"/>
        <v>0</v>
      </c>
    </row>
    <row r="60" spans="1:9" ht="15" x14ac:dyDescent="0.2">
      <c r="A60" s="21">
        <v>61007</v>
      </c>
      <c r="B60" s="23" t="s">
        <v>57</v>
      </c>
      <c r="C60" s="68"/>
      <c r="D60" s="67">
        <f>VLOOKUP(A60,'Master Akun'!A59:E123,4,)</f>
        <v>0</v>
      </c>
      <c r="E60" s="67">
        <f>VLOOKUP(A60,'Master Akun'!A59:E123,5,)</f>
        <v>0</v>
      </c>
      <c r="F60" s="67">
        <f ca="1">SUMIF(JU!A60:G170,NS!A60,JU!F60:F170)</f>
        <v>500000</v>
      </c>
      <c r="G60" s="67">
        <f ca="1">SUMIF(JU!A60:G170,NS!A60,JU!G60:G170)</f>
        <v>0</v>
      </c>
      <c r="H60" s="67">
        <f t="shared" ca="1" si="0"/>
        <v>500000</v>
      </c>
      <c r="I60" s="67">
        <f t="shared" ca="1" si="1"/>
        <v>0</v>
      </c>
    </row>
    <row r="61" spans="1:9" ht="15" x14ac:dyDescent="0.2">
      <c r="A61" s="21">
        <v>61008</v>
      </c>
      <c r="B61" s="23" t="s">
        <v>58</v>
      </c>
      <c r="C61" s="68"/>
      <c r="D61" s="67">
        <f>VLOOKUP(A61,'Master Akun'!A60:E124,4,)</f>
        <v>0</v>
      </c>
      <c r="E61" s="67">
        <f>VLOOKUP(A61,'Master Akun'!A60:E124,5,)</f>
        <v>0</v>
      </c>
      <c r="F61" s="67">
        <f ca="1">SUMIF(JU!A61:G171,NS!A61,JU!F61:F171)</f>
        <v>750000</v>
      </c>
      <c r="G61" s="67">
        <f ca="1">SUMIF(JU!A61:G171,NS!A61,JU!G61:G171)</f>
        <v>0</v>
      </c>
      <c r="H61" s="67">
        <f t="shared" ca="1" si="0"/>
        <v>750000</v>
      </c>
      <c r="I61" s="67">
        <f t="shared" ca="1" si="1"/>
        <v>0</v>
      </c>
    </row>
    <row r="62" spans="1:9" ht="15" x14ac:dyDescent="0.2">
      <c r="A62" s="21">
        <v>61009</v>
      </c>
      <c r="B62" s="23" t="s">
        <v>59</v>
      </c>
      <c r="C62" s="68"/>
      <c r="D62" s="67">
        <f>VLOOKUP(A62,'Master Akun'!A61:E125,4,)</f>
        <v>0</v>
      </c>
      <c r="E62" s="67">
        <f>VLOOKUP(A62,'Master Akun'!A61:E125,5,)</f>
        <v>0</v>
      </c>
      <c r="F62" s="67">
        <f ca="1">SUMIF(JU!A62:G172,NS!A62,JU!F62:F172)</f>
        <v>250000</v>
      </c>
      <c r="G62" s="67">
        <f ca="1">SUMIF(JU!A62:G172,NS!A62,JU!G62:G172)</f>
        <v>0</v>
      </c>
      <c r="H62" s="67">
        <f t="shared" ca="1" si="0"/>
        <v>250000</v>
      </c>
      <c r="I62" s="67">
        <f t="shared" ca="1" si="1"/>
        <v>0</v>
      </c>
    </row>
    <row r="63" spans="1:9" ht="15" x14ac:dyDescent="0.2">
      <c r="A63" s="21">
        <v>61010</v>
      </c>
      <c r="B63" s="23" t="s">
        <v>60</v>
      </c>
      <c r="C63" s="68"/>
      <c r="D63" s="67">
        <f>VLOOKUP(A63,'Master Akun'!A62:E126,4,)</f>
        <v>0</v>
      </c>
      <c r="E63" s="67">
        <f>VLOOKUP(A63,'Master Akun'!A62:E126,5,)</f>
        <v>0</v>
      </c>
      <c r="F63" s="67">
        <f ca="1">SUMIF(JU!A63:G173,NS!A63,JU!F63:F173)</f>
        <v>200000</v>
      </c>
      <c r="G63" s="67">
        <f ca="1">SUMIF(JU!A63:G173,NS!A63,JU!G63:G173)</f>
        <v>0</v>
      </c>
      <c r="H63" s="67">
        <f t="shared" ca="1" si="0"/>
        <v>200000</v>
      </c>
      <c r="I63" s="67">
        <f t="shared" ca="1" si="1"/>
        <v>0</v>
      </c>
    </row>
    <row r="64" spans="1:9" ht="15" x14ac:dyDescent="0.2">
      <c r="A64" s="21">
        <v>61011</v>
      </c>
      <c r="B64" s="23" t="s">
        <v>61</v>
      </c>
      <c r="C64" s="68"/>
      <c r="D64" s="67">
        <f>VLOOKUP(A64,'Master Akun'!A63:E127,4,)</f>
        <v>0</v>
      </c>
      <c r="E64" s="67">
        <f>VLOOKUP(A64,'Master Akun'!A63:E127,5,)</f>
        <v>0</v>
      </c>
      <c r="F64" s="67">
        <f ca="1">SUMIF(JU!A64:G174,NS!A64,JU!F64:F174)</f>
        <v>50000</v>
      </c>
      <c r="G64" s="67">
        <f ca="1">SUMIF(JU!A64:G174,NS!A64,JU!G64:G174)</f>
        <v>0</v>
      </c>
      <c r="H64" s="67">
        <f t="shared" ca="1" si="0"/>
        <v>50000</v>
      </c>
      <c r="I64" s="67">
        <f t="shared" ca="1" si="1"/>
        <v>0</v>
      </c>
    </row>
    <row r="65" spans="1:9" ht="15" x14ac:dyDescent="0.2">
      <c r="A65" s="21">
        <v>61099</v>
      </c>
      <c r="B65" s="23" t="s">
        <v>62</v>
      </c>
      <c r="C65" s="68"/>
      <c r="D65" s="67">
        <f>VLOOKUP(A65,'Master Akun'!A64:E128,4,)</f>
        <v>0</v>
      </c>
      <c r="E65" s="67">
        <f>VLOOKUP(A65,'Master Akun'!A64:E128,5,)</f>
        <v>0</v>
      </c>
      <c r="F65" s="67">
        <f ca="1">SUMIF(JU!A65:G175,NS!A65,JU!F65:F175)</f>
        <v>0</v>
      </c>
      <c r="G65" s="67">
        <f ca="1">SUMIF(JU!A65:G175,NS!A65,JU!G65:G175)</f>
        <v>0</v>
      </c>
      <c r="H65" s="67">
        <f t="shared" ca="1" si="0"/>
        <v>0</v>
      </c>
      <c r="I65" s="67">
        <f t="shared" ca="1" si="1"/>
        <v>0</v>
      </c>
    </row>
    <row r="66" spans="1:9" ht="15" x14ac:dyDescent="0.2">
      <c r="A66" s="18">
        <v>80000</v>
      </c>
      <c r="B66" s="27" t="s">
        <v>63</v>
      </c>
      <c r="C66" s="68"/>
      <c r="D66" s="67">
        <f>VLOOKUP(A66,'Master Akun'!A65:E129,4,)</f>
        <v>0</v>
      </c>
      <c r="E66" s="67">
        <f>VLOOKUP(A66,'Master Akun'!A65:E129,5,)</f>
        <v>0</v>
      </c>
      <c r="F66" s="67">
        <f ca="1">SUMIF(JU!A66:G176,NS!A66,JU!F66:F176)</f>
        <v>0</v>
      </c>
      <c r="G66" s="67">
        <f ca="1">SUMIF(JU!A66:G176,NS!A66,JU!G66:G176)</f>
        <v>0</v>
      </c>
      <c r="H66" s="67">
        <f t="shared" ca="1" si="0"/>
        <v>0</v>
      </c>
      <c r="I66" s="67">
        <f t="shared" ca="1" si="1"/>
        <v>0</v>
      </c>
    </row>
    <row r="67" spans="1:9" ht="15" x14ac:dyDescent="0.2">
      <c r="A67" s="21">
        <v>81001</v>
      </c>
      <c r="B67" s="23" t="s">
        <v>64</v>
      </c>
      <c r="C67" s="68"/>
      <c r="D67" s="67">
        <f>VLOOKUP(A67,'Master Akun'!A66:E130,4,)</f>
        <v>0</v>
      </c>
      <c r="E67" s="67">
        <f>VLOOKUP(A67,'Master Akun'!A66:E130,5,)</f>
        <v>0</v>
      </c>
      <c r="F67" s="67">
        <f ca="1">SUMIF(JU!A67:G177,NS!A67,JU!F67:F177)</f>
        <v>0</v>
      </c>
      <c r="G67" s="67">
        <f ca="1">SUMIF(JU!A67:G177,NS!A67,JU!G67:G177)</f>
        <v>1000000</v>
      </c>
      <c r="H67" s="67">
        <f t="shared" ca="1" si="0"/>
        <v>0</v>
      </c>
      <c r="I67" s="67">
        <f t="shared" ca="1" si="1"/>
        <v>1000000</v>
      </c>
    </row>
    <row r="68" spans="1:9" ht="15" x14ac:dyDescent="0.2">
      <c r="A68" s="21">
        <v>81002</v>
      </c>
      <c r="B68" s="23" t="s">
        <v>65</v>
      </c>
      <c r="C68" s="68"/>
      <c r="D68" s="67">
        <f>VLOOKUP(A68,'Master Akun'!A67:E131,4,)</f>
        <v>0</v>
      </c>
      <c r="E68" s="67">
        <f>VLOOKUP(A68,'Master Akun'!A67:E131,5,)</f>
        <v>0</v>
      </c>
      <c r="F68" s="67">
        <f ca="1">SUMIF(JU!A68:G178,NS!A68,JU!F68:F178)</f>
        <v>0</v>
      </c>
      <c r="G68" s="67">
        <f ca="1">SUMIF(JU!A68:G178,NS!A68,JU!G68:G178)</f>
        <v>1350000</v>
      </c>
      <c r="H68" s="67">
        <f t="shared" ca="1" si="0"/>
        <v>0</v>
      </c>
      <c r="I68" s="67">
        <f t="shared" ca="1" si="1"/>
        <v>1350000</v>
      </c>
    </row>
    <row r="69" spans="1:9" ht="15" x14ac:dyDescent="0.2">
      <c r="A69" s="18">
        <v>90000</v>
      </c>
      <c r="B69" s="27" t="s">
        <v>66</v>
      </c>
      <c r="C69" s="68"/>
      <c r="D69" s="67">
        <f>VLOOKUP(A69,'Master Akun'!A68:E132,4,)</f>
        <v>0</v>
      </c>
      <c r="E69" s="67">
        <f>VLOOKUP(A69,'Master Akun'!A68:E132,5,)</f>
        <v>0</v>
      </c>
      <c r="F69" s="67">
        <f ca="1">SUMIF(JU!A69:G179,NS!A69,JU!F69:F179)</f>
        <v>0</v>
      </c>
      <c r="G69" s="67">
        <f ca="1">SUMIF(JU!A69:G179,NS!A69,JU!G69:G179)</f>
        <v>0</v>
      </c>
      <c r="H69" s="67">
        <f t="shared" ca="1" si="0"/>
        <v>0</v>
      </c>
      <c r="I69" s="67">
        <f t="shared" ca="1" si="1"/>
        <v>0</v>
      </c>
    </row>
    <row r="70" spans="1:9" ht="15" x14ac:dyDescent="0.2">
      <c r="A70" s="21">
        <v>91001</v>
      </c>
      <c r="B70" s="23" t="s">
        <v>67</v>
      </c>
      <c r="C70" s="68"/>
      <c r="D70" s="67">
        <f>VLOOKUP(A70,'Master Akun'!A69:E133,4,)</f>
        <v>0</v>
      </c>
      <c r="E70" s="67">
        <f>VLOOKUP(A70,'Master Akun'!A69:E133,5,)</f>
        <v>0</v>
      </c>
      <c r="F70" s="67">
        <f ca="1">SUMIF(JU!A70:G180,NS!A70,JU!F70:F180)</f>
        <v>150000</v>
      </c>
      <c r="G70" s="67">
        <f ca="1">SUMIF(JU!A70:G180,NS!A70,JU!G70:G180)</f>
        <v>0</v>
      </c>
      <c r="H70" s="67">
        <f t="shared" ca="1" si="0"/>
        <v>150000</v>
      </c>
      <c r="I70" s="67">
        <f t="shared" ca="1" si="1"/>
        <v>0</v>
      </c>
    </row>
    <row r="71" spans="1:9" ht="15" x14ac:dyDescent="0.2">
      <c r="A71" s="21">
        <v>91002</v>
      </c>
      <c r="B71" s="23" t="s">
        <v>68</v>
      </c>
      <c r="C71" s="68"/>
      <c r="D71" s="67">
        <f>VLOOKUP(A71,'Master Akun'!A70:E134,4,)</f>
        <v>0</v>
      </c>
      <c r="E71" s="67">
        <f>VLOOKUP(A71,'Master Akun'!A70:E134,5,)</f>
        <v>0</v>
      </c>
      <c r="F71" s="67">
        <f ca="1">SUMIF(JU!A71:G181,NS!A71,JU!F71:F181)</f>
        <v>1500000</v>
      </c>
      <c r="G71" s="67">
        <f ca="1">SUMIF(JU!A71:G181,NS!A71,JU!G71:G181)</f>
        <v>0</v>
      </c>
      <c r="H71" s="67">
        <f t="shared" ca="1" si="0"/>
        <v>1500000</v>
      </c>
      <c r="I71" s="67">
        <f t="shared" ca="1" si="1"/>
        <v>0</v>
      </c>
    </row>
    <row r="72" spans="1:9" ht="15" x14ac:dyDescent="0.2">
      <c r="A72" s="159" t="s">
        <v>201</v>
      </c>
      <c r="B72" s="159"/>
      <c r="C72" s="159"/>
      <c r="D72" s="45">
        <f t="shared" ref="D72:I72" si="2">SUM(D7:D71)</f>
        <v>357130000</v>
      </c>
      <c r="E72" s="45">
        <f t="shared" si="2"/>
        <v>357130000</v>
      </c>
      <c r="F72" s="45">
        <f t="shared" ca="1" si="2"/>
        <v>479716500</v>
      </c>
      <c r="G72" s="45">
        <f t="shared" ca="1" si="2"/>
        <v>479716500</v>
      </c>
      <c r="H72" s="45">
        <f t="shared" ca="1" si="2"/>
        <v>492379000</v>
      </c>
      <c r="I72" s="45">
        <f t="shared" ca="1" si="2"/>
        <v>492379000</v>
      </c>
    </row>
    <row r="73" spans="1:9" ht="15" x14ac:dyDescent="0.2">
      <c r="A73" s="101"/>
      <c r="B73" s="101"/>
      <c r="C73" s="101"/>
      <c r="D73" s="101"/>
      <c r="E73" s="101"/>
      <c r="F73" s="101"/>
      <c r="G73" s="101"/>
      <c r="H73" s="101"/>
      <c r="I73" s="101"/>
    </row>
  </sheetData>
  <mergeCells count="9">
    <mergeCell ref="A72:C72"/>
    <mergeCell ref="F5:G5"/>
    <mergeCell ref="H5:I5"/>
    <mergeCell ref="A3:I3"/>
    <mergeCell ref="A4:I4"/>
    <mergeCell ref="A5:A6"/>
    <mergeCell ref="B5:B6"/>
    <mergeCell ref="C5:C6"/>
    <mergeCell ref="D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7"/>
  <sheetViews>
    <sheetView workbookViewId="0">
      <selection activeCell="A3" sqref="A3:E3"/>
    </sheetView>
  </sheetViews>
  <sheetFormatPr defaultColWidth="9.14453125" defaultRowHeight="14.25" x14ac:dyDescent="0.15"/>
  <cols>
    <col min="1" max="1" width="7.53125" style="16" customWidth="1"/>
    <col min="2" max="2" width="51.1171875" style="4" customWidth="1"/>
    <col min="3" max="5" width="18.6953125" style="4" customWidth="1"/>
    <col min="6" max="16384" width="9.14453125" style="4"/>
  </cols>
  <sheetData>
    <row r="1" spans="1:5" x14ac:dyDescent="0.15">
      <c r="A1" s="9"/>
      <c r="B1" s="9"/>
      <c r="C1" s="9"/>
      <c r="D1" s="9"/>
      <c r="E1" s="9"/>
    </row>
    <row r="2" spans="1:5" x14ac:dyDescent="0.15">
      <c r="A2" s="10"/>
      <c r="B2" s="10"/>
      <c r="C2" s="10"/>
      <c r="D2" s="10"/>
      <c r="E2" s="10"/>
    </row>
    <row r="3" spans="1:5" ht="15" x14ac:dyDescent="0.2">
      <c r="A3" s="154" t="s">
        <v>70</v>
      </c>
      <c r="B3" s="154"/>
      <c r="C3" s="154"/>
      <c r="D3" s="154"/>
      <c r="E3" s="154"/>
    </row>
    <row r="4" spans="1:5" ht="15.75" thickBot="1" x14ac:dyDescent="0.25">
      <c r="A4" s="210" t="s">
        <v>166</v>
      </c>
      <c r="B4" s="210"/>
      <c r="C4" s="210"/>
      <c r="D4" s="210"/>
      <c r="E4" s="210"/>
    </row>
    <row r="5" spans="1:5" ht="15" x14ac:dyDescent="0.2">
      <c r="A5" s="122">
        <v>40000</v>
      </c>
      <c r="B5" s="35" t="str">
        <f>VLOOKUP(A5,'Master Akun'!A6:E70,2,)</f>
        <v>PENJUALAN</v>
      </c>
      <c r="C5" s="123"/>
      <c r="D5" s="124"/>
      <c r="E5" s="124"/>
    </row>
    <row r="6" spans="1:5" ht="15" x14ac:dyDescent="0.2">
      <c r="A6" s="125">
        <v>41000</v>
      </c>
      <c r="B6" s="126" t="str">
        <f>VLOOKUP(A6,'Master Akun'!A7:E71,2,)</f>
        <v>Penjualan</v>
      </c>
      <c r="C6" s="124"/>
      <c r="D6" s="124">
        <f ca="1">VLOOKUP(A6,NS!A7:I71,9,)</f>
        <v>142385000</v>
      </c>
      <c r="E6" s="124"/>
    </row>
    <row r="7" spans="1:5" ht="15" x14ac:dyDescent="0.2">
      <c r="A7" s="125">
        <v>42000</v>
      </c>
      <c r="B7" s="126" t="str">
        <f>VLOOKUP(A7,'Master Akun'!A8:E72,2,)</f>
        <v>Retur Penjualan</v>
      </c>
      <c r="C7" s="124">
        <f ca="1">VLOOKUP(A7,NS!A7:I71,8,)</f>
        <v>2125000</v>
      </c>
      <c r="D7" s="124"/>
      <c r="E7" s="124"/>
    </row>
    <row r="8" spans="1:5" ht="15" x14ac:dyDescent="0.2">
      <c r="A8" s="125">
        <v>43000</v>
      </c>
      <c r="B8" s="126" t="str">
        <f>VLOOKUP(A8,'Master Akun'!A9:E73,2,)</f>
        <v>Potongan Penjualan</v>
      </c>
      <c r="C8" s="124">
        <f ca="1">VLOOKUP(A8,NS!A8:I72,8,)</f>
        <v>3022500</v>
      </c>
      <c r="D8" s="124"/>
      <c r="E8" s="124"/>
    </row>
    <row r="9" spans="1:5" ht="15" x14ac:dyDescent="0.2">
      <c r="A9" s="192" t="s">
        <v>220</v>
      </c>
      <c r="B9" s="192"/>
      <c r="C9" s="101"/>
      <c r="D9" s="127">
        <f ca="1">SUM(C7:C8)</f>
        <v>5147500</v>
      </c>
      <c r="E9" s="124"/>
    </row>
    <row r="10" spans="1:5" ht="15" x14ac:dyDescent="0.2">
      <c r="A10" s="192" t="s">
        <v>221</v>
      </c>
      <c r="B10" s="192"/>
      <c r="C10" s="123"/>
      <c r="D10" s="128">
        <f ca="1">D6-D9</f>
        <v>137237500</v>
      </c>
      <c r="E10" s="101"/>
    </row>
    <row r="11" spans="1:5" ht="15" x14ac:dyDescent="0.2">
      <c r="A11" s="122">
        <v>50000</v>
      </c>
      <c r="B11" s="35" t="str">
        <f>VLOOKUP(A11,'Master Akun'!A12:E76,2,)</f>
        <v>HARGA POKOK PENJUALAN</v>
      </c>
      <c r="C11" s="124"/>
      <c r="D11" s="124"/>
      <c r="E11" s="124"/>
    </row>
    <row r="12" spans="1:5" ht="15" x14ac:dyDescent="0.2">
      <c r="A12" s="125">
        <v>51000</v>
      </c>
      <c r="B12" s="126" t="str">
        <f>VLOOKUP(A12,'Master Akun'!A13:E77,2,)</f>
        <v>Harga Pokok Penjualan</v>
      </c>
      <c r="C12" s="123"/>
      <c r="D12" s="129">
        <f ca="1">VLOOKUP(A12,NS!A7:I71,8,)</f>
        <v>116340000</v>
      </c>
      <c r="E12" s="113"/>
    </row>
    <row r="13" spans="1:5" ht="15" x14ac:dyDescent="0.2">
      <c r="A13" s="192" t="s">
        <v>222</v>
      </c>
      <c r="B13" s="192"/>
      <c r="C13" s="113"/>
      <c r="D13" s="130">
        <f ca="1">D10-D12</f>
        <v>20897500</v>
      </c>
      <c r="E13" s="113"/>
    </row>
    <row r="14" spans="1:5" ht="15" x14ac:dyDescent="0.2">
      <c r="A14" s="122">
        <v>60000</v>
      </c>
      <c r="B14" s="35" t="str">
        <f>VLOOKUP(A14,'Master Akun'!A15:E79,2,)</f>
        <v>BEBAN USAHA</v>
      </c>
      <c r="C14" s="113"/>
      <c r="D14" s="113"/>
      <c r="E14" s="113"/>
    </row>
    <row r="15" spans="1:5" ht="15" x14ac:dyDescent="0.2">
      <c r="A15" s="125">
        <v>61001</v>
      </c>
      <c r="B15" s="126" t="str">
        <f>VLOOKUP(A15,'Master Akun'!A16:E80,2,)</f>
        <v>Beban Gaji Karyawan</v>
      </c>
      <c r="C15" s="113">
        <f ca="1">VLOOKUP(A15,NS!A7:I71,8,)</f>
        <v>14500000</v>
      </c>
      <c r="D15" s="113"/>
      <c r="E15" s="113"/>
    </row>
    <row r="16" spans="1:5" ht="15" x14ac:dyDescent="0.2">
      <c r="A16" s="125">
        <v>61002</v>
      </c>
      <c r="B16" s="126" t="str">
        <f>VLOOKUP(A16,'Master Akun'!A17:E81,2,)</f>
        <v>Beban Sewa</v>
      </c>
      <c r="C16" s="113">
        <f ca="1">VLOOKUP(A16,NS!A8:I72,8,)</f>
        <v>2500000</v>
      </c>
      <c r="D16" s="113"/>
      <c r="E16" s="113"/>
    </row>
    <row r="17" spans="1:5" ht="15" x14ac:dyDescent="0.2">
      <c r="A17" s="125">
        <v>61003</v>
      </c>
      <c r="B17" s="126" t="str">
        <f>VLOOKUP(A17,'Master Akun'!A18:E82,2,)</f>
        <v>Beban Piutang Tak Tertagih</v>
      </c>
      <c r="C17" s="113">
        <f ca="1">VLOOKUP(A17,NS!A9:I73,8,)</f>
        <v>2901750</v>
      </c>
      <c r="D17" s="113"/>
      <c r="E17" s="113"/>
    </row>
    <row r="18" spans="1:5" ht="15" x14ac:dyDescent="0.2">
      <c r="A18" s="125">
        <v>61004</v>
      </c>
      <c r="B18" s="126" t="str">
        <f>VLOOKUP(A18,'Master Akun'!A19:E83,2,)</f>
        <v>Beban Listrik</v>
      </c>
      <c r="C18" s="113">
        <f ca="1">VLOOKUP(A18,NS!A10:I74,8,)</f>
        <v>175000</v>
      </c>
      <c r="D18" s="113"/>
      <c r="E18" s="113"/>
    </row>
    <row r="19" spans="1:5" ht="15" x14ac:dyDescent="0.2">
      <c r="A19" s="125">
        <v>61005</v>
      </c>
      <c r="B19" s="126" t="str">
        <f>VLOOKUP(A19,'Master Akun'!A20:E84,2,)</f>
        <v>Beban Telepon</v>
      </c>
      <c r="C19" s="113">
        <f ca="1">VLOOKUP(A19,NS!A11:I75,8,)</f>
        <v>212500</v>
      </c>
      <c r="D19" s="113"/>
      <c r="E19" s="113"/>
    </row>
    <row r="20" spans="1:5" ht="15" x14ac:dyDescent="0.2">
      <c r="A20" s="125">
        <v>61006</v>
      </c>
      <c r="B20" s="126" t="str">
        <f>VLOOKUP(A20,'Master Akun'!A21:E85,2,)</f>
        <v>Beban Penyusutan Peralatan Kantor</v>
      </c>
      <c r="C20" s="113">
        <f ca="1">VLOOKUP(A20,NS!A12:I76,8,)</f>
        <v>400000</v>
      </c>
      <c r="D20" s="113"/>
      <c r="E20" s="113"/>
    </row>
    <row r="21" spans="1:5" ht="15" x14ac:dyDescent="0.2">
      <c r="A21" s="125">
        <v>61007</v>
      </c>
      <c r="B21" s="126" t="str">
        <f>VLOOKUP(A21,'Master Akun'!A22:E86,2,)</f>
        <v>Beban Penyusutan Kendaraan</v>
      </c>
      <c r="C21" s="113">
        <f ca="1">VLOOKUP(A21,NS!A13:I77,8,)</f>
        <v>500000</v>
      </c>
      <c r="D21" s="113"/>
      <c r="E21" s="113"/>
    </row>
    <row r="22" spans="1:5" ht="15" x14ac:dyDescent="0.2">
      <c r="A22" s="125">
        <v>61008</v>
      </c>
      <c r="B22" s="126" t="str">
        <f>VLOOKUP(A22,'Master Akun'!A23:E87,2,)</f>
        <v>Beban Pemasaran</v>
      </c>
      <c r="C22" s="113">
        <f ca="1">VLOOKUP(A22,NS!A14:I78,8,)</f>
        <v>750000</v>
      </c>
      <c r="D22" s="113"/>
      <c r="E22" s="113"/>
    </row>
    <row r="23" spans="1:5" ht="15" x14ac:dyDescent="0.2">
      <c r="A23" s="125">
        <v>61009</v>
      </c>
      <c r="B23" s="126" t="str">
        <f>VLOOKUP(A23,'Master Akun'!A24:E88,2,)</f>
        <v>Beban Transportasi</v>
      </c>
      <c r="C23" s="113">
        <f ca="1">VLOOKUP(A23,NS!A15:I79,8,)</f>
        <v>250000</v>
      </c>
      <c r="D23" s="113"/>
      <c r="E23" s="113"/>
    </row>
    <row r="24" spans="1:5" ht="15" x14ac:dyDescent="0.2">
      <c r="A24" s="125">
        <v>61010</v>
      </c>
      <c r="B24" s="126" t="str">
        <f>VLOOKUP(A24,'Master Akun'!A25:E89,2,)</f>
        <v>Beban Perawatan AC</v>
      </c>
      <c r="C24" s="113">
        <f ca="1">VLOOKUP(A24,NS!A16:I80,8,)</f>
        <v>200000</v>
      </c>
      <c r="D24" s="113"/>
      <c r="E24" s="113"/>
    </row>
    <row r="25" spans="1:5" ht="15" x14ac:dyDescent="0.2">
      <c r="A25" s="125">
        <v>61011</v>
      </c>
      <c r="B25" s="126" t="str">
        <f>VLOOKUP(A25,'Master Akun'!A26:E90,2,)</f>
        <v>Beban Perlengkapan kantor</v>
      </c>
      <c r="C25" s="113">
        <f ca="1">VLOOKUP(A25,NS!A17:I81,8,)</f>
        <v>50000</v>
      </c>
      <c r="D25" s="113"/>
      <c r="E25" s="113"/>
    </row>
    <row r="26" spans="1:5" ht="15" x14ac:dyDescent="0.2">
      <c r="A26" s="125">
        <v>61099</v>
      </c>
      <c r="B26" s="126" t="str">
        <f>VLOOKUP(A26,'Master Akun'!A27:E91,2,)</f>
        <v>Beban Umum Lain-lain</v>
      </c>
      <c r="C26" s="113">
        <f ca="1">VLOOKUP(A26,NS!A18:I82,8,)</f>
        <v>0</v>
      </c>
      <c r="D26" s="113"/>
      <c r="E26" s="113"/>
    </row>
    <row r="27" spans="1:5" ht="15" x14ac:dyDescent="0.2">
      <c r="A27" s="192" t="s">
        <v>223</v>
      </c>
      <c r="B27" s="192"/>
      <c r="C27" s="113"/>
      <c r="D27" s="130">
        <f ca="1">SUM(C15:C26)</f>
        <v>22439250</v>
      </c>
      <c r="E27" s="113"/>
    </row>
    <row r="28" spans="1:5" ht="15" x14ac:dyDescent="0.2">
      <c r="A28" s="122">
        <v>80000</v>
      </c>
      <c r="B28" s="35" t="str">
        <f>VLOOKUP(A28,'Master Akun'!A29:E93,2,)</f>
        <v>PENDAPATAN LUAR USAHA</v>
      </c>
      <c r="C28" s="113"/>
      <c r="D28" s="113"/>
      <c r="E28" s="113"/>
    </row>
    <row r="29" spans="1:5" ht="15" x14ac:dyDescent="0.2">
      <c r="A29" s="125">
        <v>81001</v>
      </c>
      <c r="B29" s="126" t="str">
        <f>VLOOKUP(A29,'Master Akun'!A30:E94,2,)</f>
        <v>Laba Penjualan Aktiva Tetap</v>
      </c>
      <c r="C29" s="113">
        <f ca="1">VLOOKUP(A29,NS!A7:I71,9,)</f>
        <v>1000000</v>
      </c>
      <c r="D29" s="113"/>
      <c r="E29" s="113"/>
    </row>
    <row r="30" spans="1:5" ht="15" x14ac:dyDescent="0.2">
      <c r="A30" s="125">
        <v>81002</v>
      </c>
      <c r="B30" s="126" t="str">
        <f>VLOOKUP(A30,'Master Akun'!A31:E95,2,)</f>
        <v>Pendapatan Jasa Giro</v>
      </c>
      <c r="C30" s="113">
        <f ca="1">VLOOKUP(A30,NS!A8:I72,9,)</f>
        <v>1350000</v>
      </c>
      <c r="D30" s="113"/>
      <c r="E30" s="113"/>
    </row>
    <row r="31" spans="1:5" ht="15" x14ac:dyDescent="0.2">
      <c r="A31" s="192" t="s">
        <v>224</v>
      </c>
      <c r="B31" s="192"/>
      <c r="C31" s="113"/>
      <c r="D31" s="130">
        <f ca="1">C30+C29</f>
        <v>2350000</v>
      </c>
      <c r="E31" s="113"/>
    </row>
    <row r="32" spans="1:5" ht="15" x14ac:dyDescent="0.2">
      <c r="A32" s="122">
        <v>90000</v>
      </c>
      <c r="B32" s="35" t="str">
        <f>VLOOKUP(A32,'Master Akun'!A33:E97,2,)</f>
        <v>BEBAN LUAR USAHA</v>
      </c>
      <c r="C32" s="113"/>
      <c r="D32" s="113"/>
      <c r="E32" s="113"/>
    </row>
    <row r="33" spans="1:5" ht="15" x14ac:dyDescent="0.2">
      <c r="A33" s="125">
        <v>91001</v>
      </c>
      <c r="B33" s="126" t="str">
        <f>VLOOKUP(A33,'Master Akun'!A34:E98,2,)</f>
        <v>Beban Administrasi Bank</v>
      </c>
      <c r="C33" s="113">
        <f ca="1">VLOOKUP(A33,NS!A17:I81,8,)</f>
        <v>150000</v>
      </c>
      <c r="D33" s="113"/>
      <c r="E33" s="113"/>
    </row>
    <row r="34" spans="1:5" ht="15" x14ac:dyDescent="0.2">
      <c r="A34" s="125">
        <v>91002</v>
      </c>
      <c r="B34" s="126" t="str">
        <f>VLOOKUP(A34,'Master Akun'!A35:E99,2,)</f>
        <v>Beban Bunga</v>
      </c>
      <c r="C34" s="113">
        <f ca="1">VLOOKUP(A34,NS!A18:I82,8,)</f>
        <v>1500000</v>
      </c>
      <c r="D34" s="113"/>
      <c r="E34" s="113"/>
    </row>
    <row r="35" spans="1:5" ht="15" x14ac:dyDescent="0.2">
      <c r="A35" s="192" t="s">
        <v>225</v>
      </c>
      <c r="B35" s="192"/>
      <c r="C35" s="113"/>
      <c r="D35" s="131">
        <f ca="1">C34+C33</f>
        <v>1650000</v>
      </c>
      <c r="E35" s="113"/>
    </row>
    <row r="36" spans="1:5" ht="15.75" thickBot="1" x14ac:dyDescent="0.25">
      <c r="A36" s="192" t="s">
        <v>226</v>
      </c>
      <c r="B36" s="192"/>
      <c r="C36" s="113"/>
      <c r="D36" s="132">
        <f ca="1">D31-D35</f>
        <v>700000</v>
      </c>
      <c r="E36" s="113"/>
    </row>
    <row r="37" spans="1:5" ht="15.75" thickBot="1" x14ac:dyDescent="0.25">
      <c r="A37" s="211" t="s">
        <v>227</v>
      </c>
      <c r="B37" s="211"/>
      <c r="C37" s="133"/>
      <c r="D37" s="134">
        <f ca="1">D13-D27+D36</f>
        <v>-841750</v>
      </c>
      <c r="E37" s="113"/>
    </row>
    <row r="38" spans="1:5" ht="15" x14ac:dyDescent="0.2">
      <c r="A38" s="125"/>
      <c r="B38" s="101"/>
      <c r="C38" s="101"/>
      <c r="D38" s="101"/>
      <c r="E38" s="101"/>
    </row>
    <row r="39" spans="1:5" ht="15" x14ac:dyDescent="0.2">
      <c r="A39" s="125"/>
      <c r="B39" s="101"/>
      <c r="C39" s="101"/>
      <c r="D39" s="101"/>
      <c r="E39" s="101"/>
    </row>
    <row r="40" spans="1:5" ht="15" x14ac:dyDescent="0.2">
      <c r="A40" s="125"/>
      <c r="B40" s="101"/>
      <c r="C40" s="101"/>
      <c r="D40" s="101"/>
      <c r="E40" s="101"/>
    </row>
    <row r="41" spans="1:5" ht="15" x14ac:dyDescent="0.2">
      <c r="A41" s="125"/>
      <c r="B41" s="101"/>
      <c r="C41" s="101"/>
      <c r="D41" s="101"/>
      <c r="E41" s="101"/>
    </row>
    <row r="42" spans="1:5" ht="15" x14ac:dyDescent="0.2">
      <c r="A42" s="125"/>
      <c r="B42" s="101"/>
      <c r="C42" s="101"/>
      <c r="D42" s="101"/>
      <c r="E42" s="101"/>
    </row>
    <row r="43" spans="1:5" ht="15" x14ac:dyDescent="0.2">
      <c r="A43" s="125"/>
      <c r="B43" s="101"/>
      <c r="C43" s="101"/>
      <c r="D43" s="101"/>
      <c r="E43" s="101"/>
    </row>
    <row r="44" spans="1:5" ht="15" x14ac:dyDescent="0.2">
      <c r="A44" s="125"/>
      <c r="B44" s="101"/>
      <c r="C44" s="101"/>
      <c r="D44" s="101"/>
      <c r="E44" s="101"/>
    </row>
    <row r="45" spans="1:5" ht="15" x14ac:dyDescent="0.2">
      <c r="A45" s="125"/>
      <c r="B45" s="101"/>
      <c r="C45" s="101"/>
      <c r="D45" s="101"/>
      <c r="E45" s="101"/>
    </row>
    <row r="46" spans="1:5" ht="15" x14ac:dyDescent="0.2">
      <c r="A46" s="125"/>
      <c r="B46" s="101"/>
      <c r="C46" s="101"/>
      <c r="D46" s="101"/>
      <c r="E46" s="101"/>
    </row>
    <row r="47" spans="1:5" ht="15" x14ac:dyDescent="0.2">
      <c r="A47" s="125"/>
      <c r="B47" s="101"/>
      <c r="C47" s="101"/>
      <c r="D47" s="101"/>
      <c r="E47" s="101"/>
    </row>
    <row r="48" spans="1:5" ht="15" x14ac:dyDescent="0.2">
      <c r="A48" s="125"/>
      <c r="B48" s="101"/>
      <c r="C48" s="101"/>
      <c r="D48" s="101"/>
      <c r="E48" s="101"/>
    </row>
    <row r="49" spans="1:5" ht="15" x14ac:dyDescent="0.2">
      <c r="A49" s="125"/>
      <c r="B49" s="101"/>
      <c r="C49" s="101"/>
      <c r="D49" s="101"/>
      <c r="E49" s="101"/>
    </row>
    <row r="50" spans="1:5" ht="15" x14ac:dyDescent="0.2">
      <c r="A50" s="125"/>
      <c r="B50" s="101"/>
      <c r="C50" s="101"/>
      <c r="D50" s="101"/>
      <c r="E50" s="101"/>
    </row>
    <row r="51" spans="1:5" ht="15" x14ac:dyDescent="0.2">
      <c r="A51" s="125"/>
      <c r="B51" s="101"/>
      <c r="C51" s="101"/>
      <c r="D51" s="101"/>
      <c r="E51" s="101"/>
    </row>
    <row r="52" spans="1:5" ht="15" x14ac:dyDescent="0.2">
      <c r="A52" s="125"/>
      <c r="B52" s="101"/>
      <c r="C52" s="101"/>
      <c r="D52" s="101"/>
      <c r="E52" s="101"/>
    </row>
    <row r="53" spans="1:5" ht="15" x14ac:dyDescent="0.2">
      <c r="A53" s="125"/>
      <c r="B53" s="101"/>
      <c r="C53" s="101"/>
      <c r="D53" s="101"/>
      <c r="E53" s="101"/>
    </row>
    <row r="54" spans="1:5" ht="15" x14ac:dyDescent="0.2">
      <c r="A54" s="125"/>
      <c r="B54" s="101"/>
      <c r="C54" s="101"/>
      <c r="D54" s="101"/>
      <c r="E54" s="101"/>
    </row>
    <row r="55" spans="1:5" ht="15" x14ac:dyDescent="0.2">
      <c r="A55" s="125"/>
      <c r="B55" s="101"/>
      <c r="C55" s="101"/>
      <c r="D55" s="101"/>
      <c r="E55" s="101"/>
    </row>
    <row r="56" spans="1:5" ht="15" x14ac:dyDescent="0.2">
      <c r="A56" s="125"/>
      <c r="B56" s="101"/>
      <c r="C56" s="101"/>
      <c r="D56" s="101"/>
      <c r="E56" s="101"/>
    </row>
    <row r="57" spans="1:5" ht="15" x14ac:dyDescent="0.2">
      <c r="A57" s="125"/>
      <c r="B57" s="101"/>
      <c r="C57" s="101"/>
      <c r="D57" s="101"/>
      <c r="E57" s="101"/>
    </row>
  </sheetData>
  <mergeCells count="10">
    <mergeCell ref="A10:B10"/>
    <mergeCell ref="A9:B9"/>
    <mergeCell ref="A3:E3"/>
    <mergeCell ref="A4:E4"/>
    <mergeCell ref="A37:B37"/>
    <mergeCell ref="A13:B13"/>
    <mergeCell ref="A27:B27"/>
    <mergeCell ref="A31:B31"/>
    <mergeCell ref="A35:B35"/>
    <mergeCell ref="A36:B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workbookViewId="0">
      <selection activeCell="A2" sqref="A2:C9"/>
    </sheetView>
  </sheetViews>
  <sheetFormatPr defaultColWidth="9.14453125" defaultRowHeight="14.25" x14ac:dyDescent="0.15"/>
  <cols>
    <col min="1" max="1" width="29.19140625" style="4" bestFit="1" customWidth="1"/>
    <col min="2" max="2" width="18.0234375" style="4" customWidth="1"/>
    <col min="3" max="3" width="19.234375" style="4" customWidth="1"/>
    <col min="4" max="16384" width="9.14453125" style="4"/>
  </cols>
  <sheetData>
    <row r="1" spans="1:3" x14ac:dyDescent="0.15">
      <c r="A1" s="10"/>
      <c r="B1" s="10"/>
      <c r="C1" s="10"/>
    </row>
    <row r="2" spans="1:3" ht="15" x14ac:dyDescent="0.2">
      <c r="A2" s="35"/>
      <c r="B2" s="35"/>
      <c r="C2" s="35"/>
    </row>
    <row r="3" spans="1:3" ht="15" x14ac:dyDescent="0.2">
      <c r="A3" s="154" t="s">
        <v>70</v>
      </c>
      <c r="B3" s="154"/>
      <c r="C3" s="154"/>
    </row>
    <row r="4" spans="1:3" ht="15" x14ac:dyDescent="0.2">
      <c r="A4" s="154" t="s">
        <v>167</v>
      </c>
      <c r="B4" s="154"/>
      <c r="C4" s="154"/>
    </row>
    <row r="5" spans="1:3" ht="15" x14ac:dyDescent="0.2">
      <c r="A5" s="135" t="s">
        <v>168</v>
      </c>
      <c r="B5" s="119"/>
      <c r="C5" s="136">
        <f ca="1">NS!I44</f>
        <v>24630000</v>
      </c>
    </row>
    <row r="6" spans="1:3" ht="15" x14ac:dyDescent="0.2">
      <c r="A6" s="119" t="s">
        <v>169</v>
      </c>
      <c r="B6" s="136">
        <f ca="1">LR!D37</f>
        <v>-841750</v>
      </c>
      <c r="C6" s="119"/>
    </row>
    <row r="7" spans="1:3" ht="15" x14ac:dyDescent="0.2">
      <c r="A7" s="119" t="s">
        <v>170</v>
      </c>
      <c r="B7" s="120">
        <v>0</v>
      </c>
      <c r="C7" s="119"/>
    </row>
    <row r="8" spans="1:3" ht="15" x14ac:dyDescent="0.2">
      <c r="A8" s="119"/>
      <c r="B8" s="119"/>
      <c r="C8" s="137">
        <f ca="1">B7+B6</f>
        <v>-841750</v>
      </c>
    </row>
    <row r="9" spans="1:3" ht="15.75" thickBot="1" x14ac:dyDescent="0.25">
      <c r="A9" s="135" t="s">
        <v>171</v>
      </c>
      <c r="B9" s="119"/>
      <c r="C9" s="138">
        <f ca="1">SUM(C5:C8)</f>
        <v>23788250</v>
      </c>
    </row>
  </sheetData>
  <mergeCells count="2"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10</vt:i4>
      </vt:variant>
    </vt:vector>
  </HeadingPairs>
  <TitlesOfParts>
    <vt:vector size="10" baseType="lpstr">
      <vt:lpstr>Master Akun</vt:lpstr>
      <vt:lpstr>JU</vt:lpstr>
      <vt:lpstr>BB</vt:lpstr>
      <vt:lpstr>BB Pembantu Piutang</vt:lpstr>
      <vt:lpstr>BB Pembantu Hutang</vt:lpstr>
      <vt:lpstr>BB Pembantu Persediaan</vt:lpstr>
      <vt:lpstr>NS</vt:lpstr>
      <vt:lpstr>LR</vt:lpstr>
      <vt:lpstr>Laporan Perubahan Laba Ditahan</vt:lpstr>
      <vt:lpstr>Neraca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2020-12-29T13:57:45Z</dcterms:created>
  <dcterms:modified xsi:type="dcterms:W3CDTF">2021-02-03T03:10:27Z</dcterms:modified>
</cp:coreProperties>
</file>