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0" yWindow="-20" windowWidth="10250" windowHeight="8160"/>
  </bookViews>
  <sheets>
    <sheet name="MASTER AKUN" sheetId="1" r:id="rId1"/>
    <sheet name="JURNAL UMUM" sheetId="2" r:id="rId2"/>
    <sheet name="BUKU BESAR" sheetId="3" r:id="rId3"/>
    <sheet name="BB PEMBANTU PIUTANG " sheetId="4" r:id="rId4"/>
    <sheet name="BB PEMBANTU PERSEDIAAN" sheetId="5" r:id="rId5"/>
    <sheet name="JURNAL PENYESUAIAN" sheetId="10" r:id="rId6"/>
    <sheet name="NERACA SALDO" sheetId="6" r:id="rId7"/>
    <sheet name="LABA RUGI" sheetId="8" r:id="rId8"/>
    <sheet name="LAPORAN POSISI KEUANGAN" sheetId="7" r:id="rId9"/>
    <sheet name="Sheet3" sheetId="11" r:id="rId10"/>
  </sheets>
  <externalReferences>
    <externalReference r:id="rId11"/>
  </externalReferences>
  <calcPr calcId="144525"/>
</workbook>
</file>

<file path=xl/calcChain.xml><?xml version="1.0" encoding="utf-8"?>
<calcChain xmlns="http://schemas.openxmlformats.org/spreadsheetml/2006/main">
  <c r="F37" i="6" l="1"/>
  <c r="B7" i="8"/>
  <c r="B6" i="8"/>
  <c r="H26" i="8"/>
  <c r="F40" i="6"/>
  <c r="B40" i="6"/>
  <c r="D40" i="6"/>
  <c r="E40" i="6"/>
  <c r="B21" i="8"/>
  <c r="B20" i="8"/>
  <c r="B19" i="8"/>
  <c r="B18" i="8"/>
  <c r="B17" i="8"/>
  <c r="B15" i="8"/>
  <c r="B26" i="8"/>
  <c r="B25" i="8"/>
  <c r="B24" i="8"/>
  <c r="B23" i="8"/>
  <c r="B22" i="8"/>
  <c r="B6" i="6"/>
  <c r="K54" i="6"/>
  <c r="K53" i="6"/>
  <c r="K52" i="6"/>
  <c r="J54" i="6"/>
  <c r="J53" i="6"/>
  <c r="J52" i="6"/>
  <c r="J45" i="6"/>
  <c r="J44" i="6"/>
  <c r="J41" i="6"/>
  <c r="K25" i="6"/>
  <c r="K22" i="6"/>
  <c r="K19" i="6"/>
  <c r="K11" i="6"/>
  <c r="J6" i="6"/>
  <c r="G6" i="6"/>
  <c r="F44" i="6"/>
  <c r="F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1" i="6"/>
  <c r="E42" i="6"/>
  <c r="E43" i="6"/>
  <c r="E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1" i="6"/>
  <c r="D42" i="6"/>
  <c r="D43" i="6"/>
  <c r="D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1" i="6"/>
  <c r="B42" i="6"/>
  <c r="B43" i="6"/>
  <c r="B35" i="8"/>
  <c r="B34" i="8"/>
  <c r="B31" i="8"/>
  <c r="B30" i="8"/>
  <c r="G19" i="10"/>
  <c r="F19" i="10"/>
  <c r="D16" i="10"/>
  <c r="D14" i="10"/>
  <c r="D6" i="10"/>
  <c r="D7" i="10"/>
  <c r="D8" i="10"/>
  <c r="D10" i="10"/>
  <c r="D11" i="10"/>
  <c r="D13" i="10"/>
  <c r="D17" i="10"/>
  <c r="D18" i="10"/>
  <c r="D5" i="10"/>
  <c r="E45" i="6"/>
  <c r="E46" i="6"/>
  <c r="E47" i="6"/>
  <c r="E48" i="6"/>
  <c r="E49" i="6"/>
  <c r="E50" i="6"/>
  <c r="E51" i="6"/>
  <c r="E52" i="6"/>
  <c r="E53" i="6"/>
  <c r="E54" i="6"/>
  <c r="D45" i="6"/>
  <c r="D46" i="6"/>
  <c r="D47" i="6"/>
  <c r="D48" i="6"/>
  <c r="D49" i="6"/>
  <c r="D50" i="6"/>
  <c r="D51" i="6"/>
  <c r="D52" i="6"/>
  <c r="D53" i="6"/>
  <c r="D54" i="6"/>
  <c r="D44" i="6"/>
  <c r="E44" i="6"/>
  <c r="B45" i="6"/>
  <c r="B46" i="6"/>
  <c r="B47" i="6"/>
  <c r="B48" i="6"/>
  <c r="B49" i="6"/>
  <c r="B50" i="6"/>
  <c r="B51" i="6"/>
  <c r="B52" i="6"/>
  <c r="B53" i="6"/>
  <c r="B54" i="6"/>
  <c r="B44" i="6"/>
  <c r="H6" i="6" l="1"/>
  <c r="B16" i="8"/>
  <c r="I6" i="6"/>
  <c r="L6" i="6" l="1"/>
  <c r="M6" i="6"/>
  <c r="D55" i="6" l="1"/>
  <c r="E55" i="6" l="1"/>
  <c r="E268" i="3"/>
  <c r="J73" i="5"/>
  <c r="L73" i="5" s="1"/>
  <c r="J65" i="5"/>
  <c r="C69" i="5"/>
  <c r="C61" i="5"/>
  <c r="I74" i="5"/>
  <c r="G74" i="5"/>
  <c r="F74" i="5"/>
  <c r="D74" i="5"/>
  <c r="K73" i="5"/>
  <c r="I66" i="5"/>
  <c r="G66" i="5"/>
  <c r="F66" i="5"/>
  <c r="D66" i="5"/>
  <c r="K65" i="5"/>
  <c r="L65" i="5"/>
  <c r="I58" i="5"/>
  <c r="G58" i="5"/>
  <c r="F58" i="5"/>
  <c r="D58" i="5"/>
  <c r="K57" i="5"/>
  <c r="J57" i="5"/>
  <c r="L57" i="5" s="1"/>
  <c r="C53" i="5"/>
  <c r="J49" i="5"/>
  <c r="C45" i="5"/>
  <c r="I50" i="5"/>
  <c r="G50" i="5"/>
  <c r="F50" i="5"/>
  <c r="D50" i="5"/>
  <c r="K49" i="5"/>
  <c r="J41" i="5"/>
  <c r="C37" i="5"/>
  <c r="I42" i="5"/>
  <c r="G42" i="5"/>
  <c r="F42" i="5"/>
  <c r="D42" i="5"/>
  <c r="K41" i="5"/>
  <c r="L41" i="5"/>
  <c r="F34" i="5"/>
  <c r="J33" i="5"/>
  <c r="L33" i="5" s="1"/>
  <c r="C29" i="5"/>
  <c r="I34" i="5"/>
  <c r="G34" i="5"/>
  <c r="D34" i="5"/>
  <c r="K33" i="5"/>
  <c r="K25" i="5"/>
  <c r="J25" i="5"/>
  <c r="F26" i="5"/>
  <c r="I26" i="5"/>
  <c r="G26" i="5"/>
  <c r="C21" i="5"/>
  <c r="D26" i="5"/>
  <c r="K17" i="5"/>
  <c r="J17" i="5"/>
  <c r="G18" i="5"/>
  <c r="G10" i="5"/>
  <c r="I18" i="5"/>
  <c r="D18" i="5"/>
  <c r="D10" i="5"/>
  <c r="C13" i="5"/>
  <c r="F18" i="5"/>
  <c r="I10" i="5"/>
  <c r="F10" i="5"/>
  <c r="K9" i="5"/>
  <c r="J9" i="5"/>
  <c r="C5" i="5"/>
  <c r="F34" i="4"/>
  <c r="F42" i="4"/>
  <c r="E42" i="4"/>
  <c r="E34" i="4"/>
  <c r="F26" i="4"/>
  <c r="E26" i="4"/>
  <c r="E18" i="4"/>
  <c r="E10" i="4"/>
  <c r="F10" i="4"/>
  <c r="G41" i="4"/>
  <c r="C37" i="4"/>
  <c r="G33" i="4"/>
  <c r="G25" i="4"/>
  <c r="G17" i="4"/>
  <c r="G9" i="4"/>
  <c r="C29" i="4"/>
  <c r="H403" i="3"/>
  <c r="G403" i="3"/>
  <c r="H395" i="3"/>
  <c r="G395" i="3"/>
  <c r="H387" i="3"/>
  <c r="G387" i="3"/>
  <c r="C399" i="3"/>
  <c r="F404" i="3"/>
  <c r="E404" i="3"/>
  <c r="F396" i="3"/>
  <c r="E396" i="3"/>
  <c r="C391" i="3"/>
  <c r="F388" i="3"/>
  <c r="E388" i="3"/>
  <c r="C383" i="3"/>
  <c r="F380" i="3"/>
  <c r="E380" i="3"/>
  <c r="H379" i="3"/>
  <c r="G379" i="3"/>
  <c r="C375" i="3"/>
  <c r="F372" i="3"/>
  <c r="E372" i="3"/>
  <c r="H371" i="3"/>
  <c r="G371" i="3"/>
  <c r="C367" i="3"/>
  <c r="F364" i="3"/>
  <c r="E364" i="3"/>
  <c r="H363" i="3"/>
  <c r="G363" i="3"/>
  <c r="C359" i="3"/>
  <c r="F356" i="3"/>
  <c r="E356" i="3"/>
  <c r="H355" i="3"/>
  <c r="G355" i="3"/>
  <c r="C351" i="3"/>
  <c r="H347" i="3"/>
  <c r="G347" i="3"/>
  <c r="H339" i="3"/>
  <c r="G339" i="3"/>
  <c r="H331" i="3"/>
  <c r="G331" i="3"/>
  <c r="H323" i="3"/>
  <c r="G323" i="3"/>
  <c r="H315" i="3"/>
  <c r="G315" i="3"/>
  <c r="H307" i="3"/>
  <c r="G307" i="3"/>
  <c r="H299" i="3"/>
  <c r="G299" i="3"/>
  <c r="H291" i="3"/>
  <c r="G291" i="3"/>
  <c r="H283" i="3"/>
  <c r="G283" i="3"/>
  <c r="H275" i="3"/>
  <c r="G275" i="3"/>
  <c r="C343" i="3"/>
  <c r="C335" i="3"/>
  <c r="C327" i="3"/>
  <c r="C319" i="3"/>
  <c r="C311" i="3"/>
  <c r="C303" i="3"/>
  <c r="C295" i="3"/>
  <c r="C287" i="3"/>
  <c r="C279" i="3"/>
  <c r="C271" i="3"/>
  <c r="H259" i="3"/>
  <c r="G259" i="3"/>
  <c r="H267" i="3"/>
  <c r="G267" i="3"/>
  <c r="H251" i="3"/>
  <c r="G251" i="3"/>
  <c r="H243" i="3"/>
  <c r="G243" i="3"/>
  <c r="H235" i="3"/>
  <c r="G235" i="3"/>
  <c r="H227" i="3"/>
  <c r="G227" i="3"/>
  <c r="C231" i="3"/>
  <c r="C263" i="3"/>
  <c r="C255" i="3"/>
  <c r="C247" i="3"/>
  <c r="C239" i="3"/>
  <c r="C223" i="3"/>
  <c r="H219" i="3"/>
  <c r="G219" i="3"/>
  <c r="C215" i="3"/>
  <c r="H211" i="3"/>
  <c r="G211" i="3"/>
  <c r="H203" i="3"/>
  <c r="G203" i="3"/>
  <c r="H195" i="3"/>
  <c r="G195" i="3"/>
  <c r="C207" i="3"/>
  <c r="C199" i="3"/>
  <c r="C191" i="3"/>
  <c r="C183" i="3"/>
  <c r="C175" i="3"/>
  <c r="H187" i="3"/>
  <c r="G187" i="3"/>
  <c r="H179" i="3"/>
  <c r="G179" i="3"/>
  <c r="H171" i="3"/>
  <c r="G171" i="3"/>
  <c r="H163" i="3"/>
  <c r="G163" i="3"/>
  <c r="C151" i="3"/>
  <c r="C159" i="3"/>
  <c r="C167" i="3"/>
  <c r="H155" i="3"/>
  <c r="G155" i="3"/>
  <c r="H147" i="3"/>
  <c r="G147" i="3"/>
  <c r="C143" i="3"/>
  <c r="H139" i="3"/>
  <c r="G139" i="3"/>
  <c r="H131" i="3"/>
  <c r="G131" i="3"/>
  <c r="H123" i="3"/>
  <c r="G123" i="3"/>
  <c r="H115" i="3"/>
  <c r="G115" i="3"/>
  <c r="H107" i="3"/>
  <c r="G107" i="3"/>
  <c r="H99" i="3"/>
  <c r="G99" i="3"/>
  <c r="C135" i="3"/>
  <c r="C127" i="3"/>
  <c r="C119" i="3"/>
  <c r="C111" i="3"/>
  <c r="C103" i="3"/>
  <c r="C95" i="3"/>
  <c r="H90" i="3"/>
  <c r="G90" i="3"/>
  <c r="H82" i="3"/>
  <c r="G82" i="3"/>
  <c r="H74" i="3"/>
  <c r="H65" i="3"/>
  <c r="G74" i="3"/>
  <c r="G65" i="3"/>
  <c r="C86" i="3"/>
  <c r="C78" i="3"/>
  <c r="C70" i="3"/>
  <c r="C61" i="3"/>
  <c r="H57" i="3"/>
  <c r="H49" i="3"/>
  <c r="G57" i="3"/>
  <c r="G49" i="3"/>
  <c r="C53" i="3"/>
  <c r="C45" i="3"/>
  <c r="H41" i="3"/>
  <c r="G41" i="3"/>
  <c r="H33" i="3"/>
  <c r="G33" i="3"/>
  <c r="H25" i="3"/>
  <c r="G25" i="3"/>
  <c r="C37" i="3"/>
  <c r="C29" i="3"/>
  <c r="C21" i="3"/>
  <c r="H9" i="3"/>
  <c r="H17" i="3"/>
  <c r="G17" i="3"/>
  <c r="C13" i="3"/>
  <c r="G9" i="3"/>
  <c r="F9" i="2"/>
  <c r="F102" i="2"/>
  <c r="F18" i="4" s="1"/>
  <c r="F49" i="2"/>
  <c r="F69" i="2"/>
  <c r="F90" i="2"/>
  <c r="G102" i="2"/>
  <c r="F99" i="2"/>
  <c r="D98" i="2"/>
  <c r="D99" i="2"/>
  <c r="D100" i="2"/>
  <c r="D101" i="2"/>
  <c r="D97" i="2"/>
  <c r="N96" i="2"/>
  <c r="N95" i="2"/>
  <c r="F94" i="2"/>
  <c r="D96" i="2"/>
  <c r="G85" i="2"/>
  <c r="D93" i="2"/>
  <c r="D90" i="2"/>
  <c r="D87" i="2"/>
  <c r="D88" i="2"/>
  <c r="D89" i="2"/>
  <c r="D91" i="2"/>
  <c r="D92" i="2"/>
  <c r="D94" i="2"/>
  <c r="D95" i="2"/>
  <c r="D86" i="2"/>
  <c r="D85" i="2"/>
  <c r="D81" i="2"/>
  <c r="F78" i="2"/>
  <c r="N74" i="2"/>
  <c r="N75" i="2"/>
  <c r="N73" i="2"/>
  <c r="F72" i="2"/>
  <c r="G66" i="2"/>
  <c r="D80" i="2"/>
  <c r="D79" i="2"/>
  <c r="D77" i="2"/>
  <c r="D76" i="2"/>
  <c r="D74" i="2"/>
  <c r="D75" i="2"/>
  <c r="D73" i="2"/>
  <c r="D69" i="2"/>
  <c r="N62" i="2"/>
  <c r="N63" i="2"/>
  <c r="N61" i="2"/>
  <c r="F60" i="2"/>
  <c r="N54" i="2"/>
  <c r="N55" i="2"/>
  <c r="N53" i="2"/>
  <c r="F52" i="2"/>
  <c r="G46" i="2"/>
  <c r="D67" i="2"/>
  <c r="D68" i="2"/>
  <c r="D70" i="2"/>
  <c r="D71" i="2"/>
  <c r="D72" i="2"/>
  <c r="D78" i="2"/>
  <c r="D82" i="2"/>
  <c r="D83" i="2"/>
  <c r="D84" i="2"/>
  <c r="D62" i="2"/>
  <c r="D63" i="2"/>
  <c r="D64" i="2"/>
  <c r="D65" i="2"/>
  <c r="D66" i="2"/>
  <c r="D61" i="2"/>
  <c r="D57" i="2"/>
  <c r="D56" i="2"/>
  <c r="D48" i="2"/>
  <c r="D49" i="2"/>
  <c r="D50" i="2"/>
  <c r="D51" i="2"/>
  <c r="D52" i="2"/>
  <c r="D53" i="2"/>
  <c r="D54" i="2"/>
  <c r="D55" i="2"/>
  <c r="D58" i="2"/>
  <c r="D59" i="2"/>
  <c r="D60" i="2"/>
  <c r="D47" i="2"/>
  <c r="G33" i="2"/>
  <c r="D43" i="2"/>
  <c r="D44" i="2"/>
  <c r="D45" i="2"/>
  <c r="D46" i="2"/>
  <c r="D42" i="2"/>
  <c r="D39" i="2"/>
  <c r="D32" i="2"/>
  <c r="D33" i="2"/>
  <c r="D34" i="2"/>
  <c r="D35" i="2"/>
  <c r="D36" i="2"/>
  <c r="D37" i="2"/>
  <c r="D38" i="2"/>
  <c r="D40" i="2"/>
  <c r="D31" i="2"/>
  <c r="G30" i="2"/>
  <c r="D27" i="2"/>
  <c r="D28" i="2"/>
  <c r="D29" i="2"/>
  <c r="D30" i="2"/>
  <c r="D26" i="2"/>
  <c r="D24" i="2"/>
  <c r="D25" i="2"/>
  <c r="D23" i="2"/>
  <c r="K19" i="2"/>
  <c r="F19" i="2" s="1"/>
  <c r="K18" i="2"/>
  <c r="F18" i="2" s="1"/>
  <c r="D21" i="2"/>
  <c r="D19" i="2"/>
  <c r="D20" i="2"/>
  <c r="G17" i="2"/>
  <c r="D16" i="2"/>
  <c r="K14" i="2"/>
  <c r="K13" i="2"/>
  <c r="F12" i="2"/>
  <c r="D13" i="2"/>
  <c r="D14" i="2"/>
  <c r="D12" i="2"/>
  <c r="D7" i="2"/>
  <c r="I98" i="1"/>
  <c r="G14" i="6" l="1"/>
  <c r="G22" i="6"/>
  <c r="G30" i="6"/>
  <c r="G38" i="6"/>
  <c r="G47" i="6"/>
  <c r="F14" i="6"/>
  <c r="F22" i="6"/>
  <c r="F48" i="6"/>
  <c r="F42" i="6"/>
  <c r="G7" i="6"/>
  <c r="G15" i="6"/>
  <c r="G23" i="6"/>
  <c r="G31" i="6"/>
  <c r="G39" i="6"/>
  <c r="G48" i="6"/>
  <c r="F7" i="6"/>
  <c r="F15" i="6"/>
  <c r="F23" i="6"/>
  <c r="H23" i="6" s="1"/>
  <c r="F31" i="6"/>
  <c r="H31" i="6" s="1"/>
  <c r="F39" i="6"/>
  <c r="F49" i="6"/>
  <c r="G41" i="6"/>
  <c r="G49" i="6"/>
  <c r="I49" i="6" s="1"/>
  <c r="F8" i="6"/>
  <c r="F16" i="6"/>
  <c r="F24" i="6"/>
  <c r="F41" i="6"/>
  <c r="F50" i="6"/>
  <c r="G42" i="6"/>
  <c r="G50" i="6"/>
  <c r="F9" i="6"/>
  <c r="F17" i="6"/>
  <c r="F52" i="6"/>
  <c r="F35" i="6"/>
  <c r="F53" i="6"/>
  <c r="F36" i="6"/>
  <c r="G8" i="6"/>
  <c r="G16" i="6"/>
  <c r="G24" i="6"/>
  <c r="G32" i="6"/>
  <c r="F32" i="6"/>
  <c r="F33" i="6"/>
  <c r="G9" i="6"/>
  <c r="G17" i="6"/>
  <c r="G25" i="6"/>
  <c r="G33" i="6"/>
  <c r="F25" i="6"/>
  <c r="H25" i="6" s="1"/>
  <c r="F43" i="6"/>
  <c r="F51" i="6"/>
  <c r="F26" i="6"/>
  <c r="F34" i="6"/>
  <c r="G10" i="6"/>
  <c r="G18" i="6"/>
  <c r="G26" i="6"/>
  <c r="G34" i="6"/>
  <c r="G43" i="6"/>
  <c r="I43" i="6" s="1"/>
  <c r="G51" i="6"/>
  <c r="I51" i="6" s="1"/>
  <c r="F10" i="6"/>
  <c r="F18" i="6"/>
  <c r="F54" i="6"/>
  <c r="F30" i="6"/>
  <c r="H30" i="6" s="1"/>
  <c r="G40" i="6"/>
  <c r="G11" i="6"/>
  <c r="G19" i="6"/>
  <c r="G27" i="6"/>
  <c r="G35" i="6"/>
  <c r="G44" i="6"/>
  <c r="G52" i="6"/>
  <c r="I52" i="6" s="1"/>
  <c r="F11" i="6"/>
  <c r="F19" i="6"/>
  <c r="F27" i="6"/>
  <c r="F45" i="6"/>
  <c r="F28" i="6"/>
  <c r="F46" i="6"/>
  <c r="F29" i="6"/>
  <c r="F47" i="6"/>
  <c r="H47" i="6" s="1"/>
  <c r="F38" i="6"/>
  <c r="H38" i="6" s="1"/>
  <c r="G12" i="6"/>
  <c r="G20" i="6"/>
  <c r="G28" i="6"/>
  <c r="G36" i="6"/>
  <c r="I36" i="6" s="1"/>
  <c r="G45" i="6"/>
  <c r="G53" i="6"/>
  <c r="I53" i="6" s="1"/>
  <c r="F12" i="6"/>
  <c r="F20" i="6"/>
  <c r="G13" i="6"/>
  <c r="G21" i="6"/>
  <c r="G29" i="6"/>
  <c r="G37" i="6"/>
  <c r="I37" i="6" s="1"/>
  <c r="G46" i="6"/>
  <c r="I46" i="6" s="1"/>
  <c r="G54" i="6"/>
  <c r="F13" i="6"/>
  <c r="F21" i="6"/>
  <c r="E74" i="5"/>
  <c r="L74" i="5"/>
  <c r="H74" i="5"/>
  <c r="E66" i="5"/>
  <c r="J74" i="5"/>
  <c r="L66" i="5"/>
  <c r="H66" i="5"/>
  <c r="J66" i="5"/>
  <c r="L58" i="5"/>
  <c r="E58" i="5"/>
  <c r="H58" i="5"/>
  <c r="J58" i="5"/>
  <c r="E50" i="5"/>
  <c r="L49" i="5"/>
  <c r="L50" i="5" s="1"/>
  <c r="H50" i="5"/>
  <c r="J50" i="5"/>
  <c r="E42" i="5"/>
  <c r="H42" i="5"/>
  <c r="L42" i="5"/>
  <c r="J42" i="5"/>
  <c r="L34" i="5"/>
  <c r="E34" i="5"/>
  <c r="H34" i="5"/>
  <c r="J34" i="5"/>
  <c r="L25" i="5"/>
  <c r="E26" i="5"/>
  <c r="H26" i="5"/>
  <c r="L26" i="5"/>
  <c r="J26" i="5"/>
  <c r="J18" i="5"/>
  <c r="L17" i="5"/>
  <c r="L18" i="5" s="1"/>
  <c r="E18" i="5"/>
  <c r="H18" i="5"/>
  <c r="H26" i="4"/>
  <c r="L9" i="5"/>
  <c r="E10" i="5"/>
  <c r="L10" i="5"/>
  <c r="H42" i="4"/>
  <c r="H10" i="5"/>
  <c r="J10" i="5"/>
  <c r="H34" i="4"/>
  <c r="G34" i="4"/>
  <c r="G42" i="4"/>
  <c r="G26" i="4"/>
  <c r="G18" i="4"/>
  <c r="H18" i="4"/>
  <c r="H10" i="4"/>
  <c r="G10" i="4"/>
  <c r="G404" i="3"/>
  <c r="H404" i="3"/>
  <c r="G396" i="3"/>
  <c r="H396" i="3"/>
  <c r="G388" i="3"/>
  <c r="H388" i="3"/>
  <c r="G380" i="3"/>
  <c r="H380" i="3"/>
  <c r="G372" i="3"/>
  <c r="H372" i="3"/>
  <c r="G364" i="3"/>
  <c r="H364" i="3"/>
  <c r="G356" i="3"/>
  <c r="H356" i="3"/>
  <c r="I15" i="6" l="1"/>
  <c r="H41" i="6"/>
  <c r="I7" i="6"/>
  <c r="I42" i="6"/>
  <c r="I34" i="6"/>
  <c r="H18" i="6"/>
  <c r="I32" i="6"/>
  <c r="I26" i="6"/>
  <c r="I20" i="6"/>
  <c r="H27" i="6"/>
  <c r="I11" i="6"/>
  <c r="I54" i="6"/>
  <c r="I13" i="6"/>
  <c r="I12" i="6"/>
  <c r="I33" i="6"/>
  <c r="I24" i="6"/>
  <c r="H9" i="6"/>
  <c r="I48" i="6"/>
  <c r="I21" i="6"/>
  <c r="I35" i="6"/>
  <c r="H17" i="6"/>
  <c r="H8" i="6"/>
  <c r="H19" i="6"/>
  <c r="I16" i="6"/>
  <c r="H14" i="6"/>
  <c r="I50" i="6"/>
  <c r="I39" i="6"/>
  <c r="I10" i="6"/>
  <c r="I22" i="6"/>
  <c r="I29" i="6"/>
  <c r="I28" i="6"/>
  <c r="H45" i="6"/>
  <c r="H7" i="6"/>
  <c r="M7" i="6" s="1"/>
  <c r="H48" i="6"/>
  <c r="L48" i="6" s="1"/>
  <c r="H24" i="8" s="1"/>
  <c r="I40" i="6"/>
  <c r="H40" i="6"/>
  <c r="H22" i="6"/>
  <c r="H21" i="6"/>
  <c r="H11" i="6"/>
  <c r="I18" i="6"/>
  <c r="M18" i="6" s="1"/>
  <c r="I25" i="6"/>
  <c r="I41" i="6"/>
  <c r="H20" i="6"/>
  <c r="H13" i="6"/>
  <c r="H12" i="6"/>
  <c r="H54" i="6"/>
  <c r="I17" i="6"/>
  <c r="I8" i="6"/>
  <c r="H49" i="6"/>
  <c r="L49" i="6" s="1"/>
  <c r="H25" i="8" s="1"/>
  <c r="I31" i="6"/>
  <c r="I47" i="6"/>
  <c r="F55" i="6"/>
  <c r="H29" i="6"/>
  <c r="I44" i="6"/>
  <c r="H44" i="6"/>
  <c r="H34" i="6"/>
  <c r="L34" i="6" s="1"/>
  <c r="I9" i="6"/>
  <c r="H36" i="6"/>
  <c r="L36" i="6" s="1"/>
  <c r="H8" i="8" s="1"/>
  <c r="H50" i="6"/>
  <c r="H39" i="6"/>
  <c r="I23" i="6"/>
  <c r="I38" i="6"/>
  <c r="M38" i="6" s="1"/>
  <c r="I45" i="6"/>
  <c r="H46" i="6"/>
  <c r="L46" i="6" s="1"/>
  <c r="H22" i="8" s="1"/>
  <c r="H10" i="6"/>
  <c r="H26" i="6"/>
  <c r="H37" i="6"/>
  <c r="L37" i="6" s="1"/>
  <c r="H7" i="8" s="1"/>
  <c r="H53" i="6"/>
  <c r="L53" i="6" s="1"/>
  <c r="H34" i="8" s="1"/>
  <c r="I30" i="6"/>
  <c r="M30" i="6" s="1"/>
  <c r="H28" i="6"/>
  <c r="I27" i="6"/>
  <c r="H51" i="6"/>
  <c r="L51" i="6" s="1"/>
  <c r="H33" i="6"/>
  <c r="H35" i="6"/>
  <c r="H24" i="6"/>
  <c r="I19" i="6"/>
  <c r="H43" i="6"/>
  <c r="L43" i="6" s="1"/>
  <c r="H19" i="8" s="1"/>
  <c r="H32" i="6"/>
  <c r="H52" i="6"/>
  <c r="L52" i="6" s="1"/>
  <c r="H16" i="6"/>
  <c r="H15" i="6"/>
  <c r="L15" i="6" s="1"/>
  <c r="H42" i="6"/>
  <c r="L42" i="6" s="1"/>
  <c r="H18" i="8" s="1"/>
  <c r="I14" i="6"/>
  <c r="G55" i="6"/>
  <c r="K74" i="5"/>
  <c r="K66" i="5"/>
  <c r="K50" i="5"/>
  <c r="K58" i="5"/>
  <c r="K42" i="5"/>
  <c r="K34" i="5"/>
  <c r="K26" i="5"/>
  <c r="K18" i="5"/>
  <c r="K10" i="5"/>
  <c r="L32" i="6" l="1"/>
  <c r="L7" i="6"/>
  <c r="L24" i="6"/>
  <c r="I9" i="8"/>
  <c r="L26" i="6"/>
  <c r="M20" i="6"/>
  <c r="M27" i="6"/>
  <c r="M11" i="6"/>
  <c r="L54" i="6"/>
  <c r="H35" i="8" s="1"/>
  <c r="L35" i="6"/>
  <c r="L12" i="6"/>
  <c r="L13" i="6"/>
  <c r="M19" i="6"/>
  <c r="L22" i="6"/>
  <c r="L11" i="6"/>
  <c r="L29" i="6"/>
  <c r="L33" i="6"/>
  <c r="L28" i="6"/>
  <c r="M8" i="6"/>
  <c r="M54" i="6"/>
  <c r="M12" i="6"/>
  <c r="L50" i="6"/>
  <c r="L21" i="6"/>
  <c r="L16" i="6"/>
  <c r="L10" i="6"/>
  <c r="L39" i="6"/>
  <c r="H15" i="8" s="1"/>
  <c r="M36" i="6"/>
  <c r="L18" i="6"/>
  <c r="L27" i="6"/>
  <c r="L20" i="6"/>
  <c r="M48" i="6"/>
  <c r="L30" i="6"/>
  <c r="M15" i="6"/>
  <c r="M44" i="6"/>
  <c r="L40" i="6"/>
  <c r="H16" i="8" s="1"/>
  <c r="M16" i="6"/>
  <c r="M35" i="6"/>
  <c r="J6" i="8" s="1"/>
  <c r="J10" i="8" s="1"/>
  <c r="L23" i="6"/>
  <c r="M23" i="6"/>
  <c r="M42" i="6"/>
  <c r="L25" i="6"/>
  <c r="M25" i="6"/>
  <c r="M40" i="6"/>
  <c r="M53" i="6"/>
  <c r="M28" i="6"/>
  <c r="M49" i="6"/>
  <c r="L19" i="6"/>
  <c r="L17" i="6"/>
  <c r="M17" i="6"/>
  <c r="M43" i="6"/>
  <c r="L45" i="6"/>
  <c r="H21" i="8" s="1"/>
  <c r="M45" i="6"/>
  <c r="M10" i="6"/>
  <c r="M39" i="6"/>
  <c r="M24" i="6"/>
  <c r="L14" i="6"/>
  <c r="M14" i="6"/>
  <c r="M46" i="6"/>
  <c r="L38" i="6"/>
  <c r="H12" i="8" s="1"/>
  <c r="M33" i="6"/>
  <c r="L8" i="6"/>
  <c r="L9" i="6"/>
  <c r="M9" i="6"/>
  <c r="M13" i="6"/>
  <c r="L47" i="6"/>
  <c r="H23" i="8" s="1"/>
  <c r="M47" i="6"/>
  <c r="M52" i="6"/>
  <c r="H30" i="8" s="1"/>
  <c r="L41" i="6"/>
  <c r="H17" i="8" s="1"/>
  <c r="M41" i="6"/>
  <c r="M32" i="6"/>
  <c r="M29" i="6"/>
  <c r="M51" i="6"/>
  <c r="H31" i="8" s="1"/>
  <c r="M22" i="6"/>
  <c r="M34" i="6"/>
  <c r="L44" i="6"/>
  <c r="H20" i="8" s="1"/>
  <c r="L31" i="6"/>
  <c r="M31" i="6"/>
  <c r="M50" i="6"/>
  <c r="M37" i="6"/>
  <c r="M26" i="6"/>
  <c r="M21" i="6"/>
  <c r="H55" i="6"/>
  <c r="J13" i="8" l="1"/>
  <c r="I27" i="8"/>
  <c r="I55" i="6"/>
  <c r="J28" i="8" l="1"/>
  <c r="J55" i="6"/>
  <c r="K55" i="6" l="1"/>
  <c r="L55" i="6"/>
  <c r="M55" i="6" l="1"/>
  <c r="I36" i="8" l="1"/>
  <c r="I32" i="8"/>
  <c r="J37" i="8" l="1"/>
  <c r="J38" i="8" s="1"/>
  <c r="E60" i="1" l="1"/>
  <c r="D60" i="1"/>
  <c r="D41" i="2" l="1"/>
  <c r="F23" i="2"/>
  <c r="D11" i="2"/>
  <c r="D10" i="2"/>
  <c r="D9" i="2"/>
  <c r="D5" i="2" l="1"/>
  <c r="N64" i="1" l="1"/>
  <c r="N63" i="1"/>
  <c r="N62" i="1"/>
  <c r="N60" i="1"/>
  <c r="N59" i="1"/>
  <c r="N57" i="1"/>
  <c r="N56" i="1"/>
  <c r="N55" i="1"/>
  <c r="N54" i="1"/>
  <c r="N65" i="1" l="1"/>
  <c r="C21" i="4"/>
  <c r="C13" i="4"/>
  <c r="C5" i="4"/>
  <c r="C5" i="3"/>
  <c r="D22" i="2" l="1"/>
  <c r="D18" i="2"/>
  <c r="D17" i="2"/>
  <c r="D15" i="2"/>
  <c r="D8" i="2"/>
  <c r="D6" i="2"/>
  <c r="F276" i="3" l="1"/>
  <c r="E26" i="3"/>
  <c r="E75" i="3"/>
  <c r="E156" i="3"/>
  <c r="E244" i="3"/>
  <c r="E212" i="3"/>
  <c r="E236" i="3"/>
  <c r="E34" i="3"/>
  <c r="E204" i="3"/>
  <c r="F252" i="3"/>
  <c r="E276" i="3"/>
  <c r="F18" i="3"/>
  <c r="F116" i="3"/>
  <c r="F212" i="3"/>
  <c r="H212" i="3" s="1"/>
  <c r="E180" i="3"/>
  <c r="F204" i="3"/>
  <c r="F348" i="3"/>
  <c r="E172" i="3"/>
  <c r="E332" i="3"/>
  <c r="E132" i="3"/>
  <c r="F220" i="3"/>
  <c r="E252" i="3"/>
  <c r="F340" i="3"/>
  <c r="F66" i="3"/>
  <c r="F180" i="3"/>
  <c r="F140" i="3"/>
  <c r="F172" i="3"/>
  <c r="F332" i="3"/>
  <c r="H332" i="3" s="1"/>
  <c r="E148" i="3"/>
  <c r="E316" i="3"/>
  <c r="E100" i="3"/>
  <c r="F132" i="3"/>
  <c r="E260" i="3"/>
  <c r="F164" i="3"/>
  <c r="E196" i="3"/>
  <c r="E220" i="3"/>
  <c r="F324" i="3"/>
  <c r="F10" i="3"/>
  <c r="E116" i="3"/>
  <c r="F108" i="3"/>
  <c r="F148" i="3"/>
  <c r="F316" i="3"/>
  <c r="E300" i="3"/>
  <c r="E83" i="3"/>
  <c r="E18" i="3"/>
  <c r="G18" i="3" s="1"/>
  <c r="E348" i="3"/>
  <c r="G348" i="3" s="1"/>
  <c r="E164" i="3"/>
  <c r="F188" i="3"/>
  <c r="F308" i="3"/>
  <c r="E340" i="3"/>
  <c r="E66" i="3"/>
  <c r="F91" i="3"/>
  <c r="E140" i="3"/>
  <c r="F300" i="3"/>
  <c r="F100" i="3"/>
  <c r="E284" i="3"/>
  <c r="E42" i="3"/>
  <c r="F284" i="3"/>
  <c r="F83" i="3"/>
  <c r="F26" i="3"/>
  <c r="H26" i="3" s="1"/>
  <c r="F124" i="3"/>
  <c r="F156" i="3"/>
  <c r="H156" i="3" s="1"/>
  <c r="F292" i="3"/>
  <c r="E324" i="3"/>
  <c r="E10" i="3"/>
  <c r="G10" i="3" s="1"/>
  <c r="F58" i="3"/>
  <c r="E108" i="3"/>
  <c r="F50" i="3"/>
  <c r="E124" i="3"/>
  <c r="F244" i="3"/>
  <c r="H244" i="3" s="1"/>
  <c r="E308" i="3"/>
  <c r="F268" i="3"/>
  <c r="F34" i="3"/>
  <c r="E91" i="3"/>
  <c r="F260" i="3"/>
  <c r="F42" i="3"/>
  <c r="E228" i="3"/>
  <c r="F196" i="3"/>
  <c r="F75" i="3"/>
  <c r="H75" i="3" s="1"/>
  <c r="E50" i="3"/>
  <c r="E188" i="3"/>
  <c r="E292" i="3"/>
  <c r="F236" i="3"/>
  <c r="H236" i="3" s="1"/>
  <c r="E58" i="3"/>
  <c r="F228" i="3"/>
  <c r="I46" i="1"/>
  <c r="H34" i="3" l="1"/>
  <c r="G172" i="3"/>
  <c r="G58" i="3"/>
  <c r="G66" i="3"/>
  <c r="G308" i="3"/>
  <c r="H292" i="3"/>
  <c r="G164" i="3"/>
  <c r="G116" i="3"/>
  <c r="H196" i="3"/>
  <c r="H300" i="3"/>
  <c r="H42" i="3"/>
  <c r="H260" i="3"/>
  <c r="G140" i="3"/>
  <c r="H100" i="3"/>
  <c r="G276" i="3"/>
  <c r="H10" i="3"/>
  <c r="G316" i="3"/>
  <c r="G252" i="3"/>
  <c r="G284" i="3"/>
  <c r="H188" i="3"/>
  <c r="G148" i="3"/>
  <c r="G83" i="3"/>
  <c r="H91" i="3"/>
  <c r="G180" i="3"/>
  <c r="G124" i="3"/>
  <c r="G268" i="3"/>
  <c r="H132" i="3"/>
  <c r="H228" i="3"/>
  <c r="G340" i="3"/>
  <c r="H50" i="3"/>
  <c r="G108" i="3"/>
  <c r="H324" i="3"/>
  <c r="H220" i="3"/>
  <c r="G204" i="3"/>
  <c r="G50" i="3"/>
  <c r="H268" i="3"/>
  <c r="G324" i="3"/>
  <c r="H108" i="3"/>
  <c r="H66" i="3"/>
  <c r="H204" i="3"/>
  <c r="G34" i="3"/>
  <c r="G100" i="3"/>
  <c r="H340" i="3"/>
  <c r="G236" i="3"/>
  <c r="G212" i="3"/>
  <c r="H124" i="3"/>
  <c r="H116" i="3"/>
  <c r="G244" i="3"/>
  <c r="G220" i="3"/>
  <c r="G132" i="3"/>
  <c r="H18" i="3"/>
  <c r="G156" i="3"/>
  <c r="H83" i="3"/>
  <c r="G300" i="3"/>
  <c r="G196" i="3"/>
  <c r="H172" i="3"/>
  <c r="G332" i="3"/>
  <c r="G75" i="3"/>
  <c r="G228" i="3"/>
  <c r="G91" i="3"/>
  <c r="H58" i="3"/>
  <c r="H284" i="3"/>
  <c r="H316" i="3"/>
  <c r="H164" i="3"/>
  <c r="H140" i="3"/>
  <c r="H252" i="3"/>
  <c r="G26" i="3"/>
  <c r="G292" i="3"/>
  <c r="G188" i="3"/>
  <c r="G42" i="3"/>
  <c r="H308" i="3"/>
  <c r="H148" i="3"/>
  <c r="G260" i="3"/>
  <c r="H180" i="3"/>
  <c r="H348" i="3"/>
  <c r="H276" i="3"/>
</calcChain>
</file>

<file path=xl/sharedStrings.xml><?xml version="1.0" encoding="utf-8"?>
<sst xmlns="http://schemas.openxmlformats.org/spreadsheetml/2006/main" count="1500" uniqueCount="328">
  <si>
    <t>1-1100</t>
  </si>
  <si>
    <t>4-1000</t>
  </si>
  <si>
    <t>Retur Penjualan</t>
  </si>
  <si>
    <t>5-1000</t>
  </si>
  <si>
    <t>Harga Pokok Penjualan</t>
  </si>
  <si>
    <t>JUMLAH</t>
  </si>
  <si>
    <t>NO.AKUN</t>
  </si>
  <si>
    <t>PERKIRAAN</t>
  </si>
  <si>
    <t>REF</t>
  </si>
  <si>
    <t>DEBET</t>
  </si>
  <si>
    <t>KREDIT</t>
  </si>
  <si>
    <t>Kode</t>
  </si>
  <si>
    <t>Nama Pelanggan</t>
  </si>
  <si>
    <t>Keterangan</t>
  </si>
  <si>
    <t>Jumlah Piutang</t>
  </si>
  <si>
    <t>Kode Barang</t>
  </si>
  <si>
    <t>Kuantitas</t>
  </si>
  <si>
    <t>TOTAL</t>
  </si>
  <si>
    <t>PT. KHARISMA DIGITAL</t>
  </si>
  <si>
    <t>TANGGAL</t>
  </si>
  <si>
    <t>NO.BUKTI</t>
  </si>
  <si>
    <t xml:space="preserve">KETERANGAN </t>
  </si>
  <si>
    <t xml:space="preserve">KODE </t>
  </si>
  <si>
    <t>PERSEDIAAN</t>
  </si>
  <si>
    <t>PENERIMAAN</t>
  </si>
  <si>
    <t>QUANTITY</t>
  </si>
  <si>
    <t>HARGA</t>
  </si>
  <si>
    <t>PENGELUAAN</t>
  </si>
  <si>
    <t>JURNAL UMUM</t>
  </si>
  <si>
    <t>Tanggal</t>
  </si>
  <si>
    <t>Bukti Transaksi</t>
  </si>
  <si>
    <t>Ref</t>
  </si>
  <si>
    <t>Debet</t>
  </si>
  <si>
    <t>Kredit</t>
  </si>
  <si>
    <t>Saldo</t>
  </si>
  <si>
    <t>Saldo Awal</t>
  </si>
  <si>
    <t>BUKTI TRANSAKSI</t>
  </si>
  <si>
    <t>KETERANGAN</t>
  </si>
  <si>
    <t>SALDO</t>
  </si>
  <si>
    <t>KODE PERKIRAAN</t>
  </si>
  <si>
    <t>NAMA PERKIRAAN</t>
  </si>
  <si>
    <t>BUKU BESAR</t>
  </si>
  <si>
    <t>Retur penjualan</t>
  </si>
  <si>
    <t>Kode Pelanggan</t>
  </si>
  <si>
    <t>Kode Persediaan</t>
  </si>
  <si>
    <t>Nama Persediaan</t>
  </si>
  <si>
    <t>Penerimaan</t>
  </si>
  <si>
    <t>Pengeluaran</t>
  </si>
  <si>
    <t>Quantity</t>
  </si>
  <si>
    <t>Harga</t>
  </si>
  <si>
    <t>Jumlah</t>
  </si>
  <si>
    <t>Aset</t>
  </si>
  <si>
    <t>Utang</t>
  </si>
  <si>
    <t>Aset Lancar</t>
  </si>
  <si>
    <t>Utang Lancar</t>
  </si>
  <si>
    <t>Aset Tetap</t>
  </si>
  <si>
    <t>Utang Jangka Panajang</t>
  </si>
  <si>
    <t>Jumlah Aset</t>
  </si>
  <si>
    <t>Total Utang</t>
  </si>
  <si>
    <t>Ekuitas</t>
  </si>
  <si>
    <t>Modal</t>
  </si>
  <si>
    <t>Laba di tahan</t>
  </si>
  <si>
    <t>Jumlah Modal</t>
  </si>
  <si>
    <t>Jumlah Modal + Utang</t>
  </si>
  <si>
    <t>LAPORAN LABA RUGI</t>
  </si>
  <si>
    <t>Penjualan Bersih</t>
  </si>
  <si>
    <t>BUKU BESAR PEMBANTU PIUTANG PELANGGAN</t>
  </si>
  <si>
    <t>BUKU BESAR PEMBANTU PERSEDIAAN</t>
  </si>
  <si>
    <t>DAFTAR NAMA AKUN PT. FADALI FURNITUR</t>
  </si>
  <si>
    <t>PT. FADALI FURNITUR</t>
  </si>
  <si>
    <t>C01</t>
  </si>
  <si>
    <t>PT. Gunung Agung</t>
  </si>
  <si>
    <t>C02</t>
  </si>
  <si>
    <t>Toko Buku Utama</t>
  </si>
  <si>
    <t>C03</t>
  </si>
  <si>
    <t>CV Mebel Abadi</t>
  </si>
  <si>
    <t>C04</t>
  </si>
  <si>
    <t>C05</t>
  </si>
  <si>
    <t>CV Sembilan Sembilan</t>
  </si>
  <si>
    <t>Penjualan Counter</t>
  </si>
  <si>
    <t xml:space="preserve">Kas </t>
  </si>
  <si>
    <t>Kas Di Tangan</t>
  </si>
  <si>
    <t>Kas Kecil</t>
  </si>
  <si>
    <t>Bank</t>
  </si>
  <si>
    <t>Bank BCA</t>
  </si>
  <si>
    <t>Bank Mandiri</t>
  </si>
  <si>
    <t>Piutang Usaha Bersih</t>
  </si>
  <si>
    <t>Cadangan Piutang Tak Tertagih</t>
  </si>
  <si>
    <t>Piutang Lain-Lain</t>
  </si>
  <si>
    <t>Piutang Karyawan</t>
  </si>
  <si>
    <t>Persediaan Barang Dagangan</t>
  </si>
  <si>
    <t>Pembayaran Dimuka</t>
  </si>
  <si>
    <t>PPN Masukan</t>
  </si>
  <si>
    <t>Uang Muka Pembelian</t>
  </si>
  <si>
    <t>Aktiva Tetap</t>
  </si>
  <si>
    <t>Nilai Buku Peralatan Kantor</t>
  </si>
  <si>
    <t>Peralatan Kantor</t>
  </si>
  <si>
    <t>Akumulasi Penyusutan Peralatan Kantor</t>
  </si>
  <si>
    <t>Nilai Buku Kendaraan</t>
  </si>
  <si>
    <t>Kendaraan</t>
  </si>
  <si>
    <t>Akumulasi Penyusutan Kendaraan</t>
  </si>
  <si>
    <t>Kewajiban Lancar</t>
  </si>
  <si>
    <t>Pendapatan Diterima Dimuka-Jasa Kirim</t>
  </si>
  <si>
    <t xml:space="preserve">Hutang Bunga </t>
  </si>
  <si>
    <t>Hutang Pajak</t>
  </si>
  <si>
    <t>Utang PPh pasal 21</t>
  </si>
  <si>
    <t>Utang PPh Pasal 4</t>
  </si>
  <si>
    <t>PPN Keluaran</t>
  </si>
  <si>
    <t>Kewajiban Jangka Panjang</t>
  </si>
  <si>
    <t>Hutang Bank Mandiri</t>
  </si>
  <si>
    <t xml:space="preserve">Modal Saham </t>
  </si>
  <si>
    <t>Laba Ditahan Periode Lalu</t>
  </si>
  <si>
    <t>Laba Ditahan Periode Berjalan</t>
  </si>
  <si>
    <t>Perkiraan Penyeimbang</t>
  </si>
  <si>
    <t xml:space="preserve">Penjualan </t>
  </si>
  <si>
    <t>Potongan Penjualan</t>
  </si>
  <si>
    <t>Beban Gaji Karyawan</t>
  </si>
  <si>
    <t>Beban Sewa</t>
  </si>
  <si>
    <t>Beban Piutang Tak Tertagih</t>
  </si>
  <si>
    <t>Beban Listrik</t>
  </si>
  <si>
    <t>Beban Telepon</t>
  </si>
  <si>
    <t>Beban Penyusutan peralatan Kantor</t>
  </si>
  <si>
    <t>Beban Penyusutan Kendaraan</t>
  </si>
  <si>
    <t xml:space="preserve">Beban pemasaran </t>
  </si>
  <si>
    <t>Beban Transportasi</t>
  </si>
  <si>
    <t>Beban Perlengkapan Kantor</t>
  </si>
  <si>
    <t>Beban Umum Lain-Lain</t>
  </si>
  <si>
    <t>Laba Penjualan Aktiva Tetap</t>
  </si>
  <si>
    <t>Beban Administrasi Bank</t>
  </si>
  <si>
    <t>Beban bunga</t>
  </si>
  <si>
    <t>P01</t>
  </si>
  <si>
    <t>P02</t>
  </si>
  <si>
    <t>P03</t>
  </si>
  <si>
    <t>Nama Produk</t>
  </si>
  <si>
    <t>QUEEN C405</t>
  </si>
  <si>
    <t>QUEEN C605</t>
  </si>
  <si>
    <t>Satuan</t>
  </si>
  <si>
    <t>Buah</t>
  </si>
  <si>
    <t>Harga Beli</t>
  </si>
  <si>
    <t>Harga Jual</t>
  </si>
  <si>
    <t>Saldo persediaan per 01-01-2005</t>
  </si>
  <si>
    <t>Harga Pokok</t>
  </si>
  <si>
    <t>STONES C109</t>
  </si>
  <si>
    <t>STONES C303</t>
  </si>
  <si>
    <t>P04</t>
  </si>
  <si>
    <t>P05</t>
  </si>
  <si>
    <t>P06</t>
  </si>
  <si>
    <t>P07</t>
  </si>
  <si>
    <t>P08</t>
  </si>
  <si>
    <t>P09</t>
  </si>
  <si>
    <t>NILAI PERSEDIAAN</t>
  </si>
  <si>
    <t>EBIET D708</t>
  </si>
  <si>
    <t>EBIET D908</t>
  </si>
  <si>
    <t>TAMERLAND L1</t>
  </si>
  <si>
    <t>TAMERLAND L3</t>
  </si>
  <si>
    <t>TAMERLAND L2</t>
  </si>
  <si>
    <t>S01</t>
  </si>
  <si>
    <t>S02</t>
  </si>
  <si>
    <t>S03</t>
  </si>
  <si>
    <t>UD BERSAUDARA</t>
  </si>
  <si>
    <t>DAFTAR SALDO HUTANG</t>
  </si>
  <si>
    <t>1-1200</t>
  </si>
  <si>
    <t>1-1101</t>
  </si>
  <si>
    <t>1-1102</t>
  </si>
  <si>
    <t>1-1201</t>
  </si>
  <si>
    <t>1-1202</t>
  </si>
  <si>
    <t>1-1300</t>
  </si>
  <si>
    <t>1-1301</t>
  </si>
  <si>
    <t>1-1302</t>
  </si>
  <si>
    <t>1-1400</t>
  </si>
  <si>
    <t>1-1401</t>
  </si>
  <si>
    <t>1-1500</t>
  </si>
  <si>
    <t>9-1002</t>
  </si>
  <si>
    <t>9-1001</t>
  </si>
  <si>
    <t>8-1002</t>
  </si>
  <si>
    <t>8-1001</t>
  </si>
  <si>
    <t>6-1099</t>
  </si>
  <si>
    <t>6-1011</t>
  </si>
  <si>
    <t>6-1010</t>
  </si>
  <si>
    <t>6-1009</t>
  </si>
  <si>
    <t>6-1008</t>
  </si>
  <si>
    <t>6-1007</t>
  </si>
  <si>
    <t>6-1006</t>
  </si>
  <si>
    <t>6-1005</t>
  </si>
  <si>
    <t>6-1004</t>
  </si>
  <si>
    <t>6-1002</t>
  </si>
  <si>
    <t>6-1001</t>
  </si>
  <si>
    <t>1-1600</t>
  </si>
  <si>
    <t>1-1601</t>
  </si>
  <si>
    <t>1-1602</t>
  </si>
  <si>
    <t>3-1000</t>
  </si>
  <si>
    <t>1-2000</t>
  </si>
  <si>
    <t>1-2100</t>
  </si>
  <si>
    <t>1-2101</t>
  </si>
  <si>
    <t>1-2102</t>
  </si>
  <si>
    <t>1-2200</t>
  </si>
  <si>
    <t>1-2201</t>
  </si>
  <si>
    <t>1-2202</t>
  </si>
  <si>
    <t>2-1000</t>
  </si>
  <si>
    <t>2-1100</t>
  </si>
  <si>
    <t>2-1200</t>
  </si>
  <si>
    <t>2-1300</t>
  </si>
  <si>
    <t>2-1400</t>
  </si>
  <si>
    <t>2-1401</t>
  </si>
  <si>
    <t>2-1402</t>
  </si>
  <si>
    <t>2-1403</t>
  </si>
  <si>
    <t>2-2000</t>
  </si>
  <si>
    <t>2-2001</t>
  </si>
  <si>
    <t>3-2000</t>
  </si>
  <si>
    <t>3-3000</t>
  </si>
  <si>
    <t>3-9999</t>
  </si>
  <si>
    <t>4-2000</t>
  </si>
  <si>
    <t>4-3000</t>
  </si>
  <si>
    <t>Hutang Usaha</t>
  </si>
  <si>
    <t>Piutang Usaha</t>
  </si>
  <si>
    <t>Pendapatan Jasa Giro</t>
  </si>
  <si>
    <t>Kelompok kursi</t>
  </si>
  <si>
    <t>Kelompok meja</t>
  </si>
  <si>
    <t>kelompok lemari arsip</t>
  </si>
  <si>
    <t>Jalan Raya Kwitang No 36 JAKARTA PUSAT</t>
  </si>
  <si>
    <t>NPWP. 01.475.623.2.041.000</t>
  </si>
  <si>
    <t>Telp. (021) 525 40000   Fax (021) 525 50000</t>
  </si>
  <si>
    <t>Batas Kredit: Rp30.000.000</t>
  </si>
  <si>
    <t>Termin: 2/10, Net 30</t>
  </si>
  <si>
    <t>Saldo Piutang Per 1 Januari 2006:</t>
  </si>
  <si>
    <t>Faktur Penjualan No. FP 512027</t>
  </si>
  <si>
    <t>Jalan Warung Buncit No. 72 JAKARTA SELATAN</t>
  </si>
  <si>
    <t>NPWP. 01.677.785.5.035.000</t>
  </si>
  <si>
    <t>Telp. (021) 5406 540   Fax (021) 5406 541</t>
  </si>
  <si>
    <t>Faktur Penjualan No. FP 512038</t>
  </si>
  <si>
    <t>Jalan Raya Cileduk No 21D TANGERANG</t>
  </si>
  <si>
    <t>NPWP. 2.259.457.2.046.000</t>
  </si>
  <si>
    <t>Telp. (021) 739 7402   Fax (021) 739 7405</t>
  </si>
  <si>
    <t>Termin: 3/10, Net 30</t>
  </si>
  <si>
    <t>Faktur Penjualan No. FP 512045</t>
  </si>
  <si>
    <t>Jalan Fatmawati No 20 JAKARTA SELATAN</t>
  </si>
  <si>
    <t>NPWP. 7.525.755.3.046.100</t>
  </si>
  <si>
    <t>Telp. (021) 7502457   Fax (021) 7502458</t>
  </si>
  <si>
    <t>Faktur Penjualan No. FP 512061</t>
  </si>
  <si>
    <t>Jakarta</t>
  </si>
  <si>
    <t>Saldo Piutang: ----</t>
  </si>
  <si>
    <t>CV USAHA MAJU</t>
  </si>
  <si>
    <t>Jalan soekarno Hatta BANDUNG</t>
  </si>
  <si>
    <t>NPWP. 01.625.347.5.012</t>
  </si>
  <si>
    <t>Telp. (022) 4578 905   Fax (022) 4578 906</t>
  </si>
  <si>
    <t>Batas Kredit: Rp50.000.000</t>
  </si>
  <si>
    <t>Termin: 5/10, Net 50</t>
  </si>
  <si>
    <t>Saldo Hutang Per 1 Januari 2006:</t>
  </si>
  <si>
    <t>Faktur Pembelian No. UM 9401</t>
  </si>
  <si>
    <t>PT KARYA BERSAMA</t>
  </si>
  <si>
    <t>Jalan Sawo BOGOR</t>
  </si>
  <si>
    <t>NPWP. 01.625.347.5.018</t>
  </si>
  <si>
    <t>Telp. (0251) 326 597   Fax (0252) 326 599</t>
  </si>
  <si>
    <t>Faktur Pembelian No. KB 861</t>
  </si>
  <si>
    <t>Jalan Sukamiskin BOGOR</t>
  </si>
  <si>
    <t>NPWP. 02.325.675.5.071</t>
  </si>
  <si>
    <t>Telp. (0251) 326 977   Fax (0251) 326 978</t>
  </si>
  <si>
    <t>Faktur Pembelian No. BS 0312</t>
  </si>
  <si>
    <t xml:space="preserve">Jumlah </t>
  </si>
  <si>
    <t>PT FADALI FURNITUR</t>
  </si>
  <si>
    <t xml:space="preserve">DAFRAR SALDO PIUTANG </t>
  </si>
  <si>
    <t>PER 1 JANUARI 2015</t>
  </si>
  <si>
    <t>DATA PRODUK &amp; SALDO AWAL PERSEDIAAN</t>
  </si>
  <si>
    <t>PER 1 JANUARI 2006</t>
  </si>
  <si>
    <t>Beban Perawatan AC</t>
  </si>
  <si>
    <t>01/PO/01/06</t>
  </si>
  <si>
    <t>01/KK/01/06</t>
  </si>
  <si>
    <t>01/J/01/06</t>
  </si>
  <si>
    <t>01/KM/01/06</t>
  </si>
  <si>
    <t>01/B/01/06</t>
  </si>
  <si>
    <t>01/NK/01/06</t>
  </si>
  <si>
    <t>02/KK/01/06</t>
  </si>
  <si>
    <t>02/KM/01/06</t>
  </si>
  <si>
    <t>01/NR/01/06</t>
  </si>
  <si>
    <t>04/KM/01/06</t>
  </si>
  <si>
    <t>05/KK/01/06</t>
  </si>
  <si>
    <t>02/J/01/06</t>
  </si>
  <si>
    <t>03/J/01/06</t>
  </si>
  <si>
    <t>02/NR/01/06</t>
  </si>
  <si>
    <t>04/J/01/06</t>
  </si>
  <si>
    <t>06/KK/01/06</t>
  </si>
  <si>
    <t>07/KK/01/06</t>
  </si>
  <si>
    <t>08/KK/01/06</t>
  </si>
  <si>
    <t>05/KM/01/06</t>
  </si>
  <si>
    <t>05/J/01/06</t>
  </si>
  <si>
    <t>09KK/01/06</t>
  </si>
  <si>
    <t>06/KM/01/06</t>
  </si>
  <si>
    <t>04/KK/01/06</t>
  </si>
  <si>
    <t>03/KM/01/06</t>
  </si>
  <si>
    <t>03/KK/01/06</t>
  </si>
  <si>
    <t>Mutasi Piutang</t>
  </si>
  <si>
    <t>Mutasi Transaksi</t>
  </si>
  <si>
    <t>6-1003</t>
  </si>
  <si>
    <t>Mutasi Persediaan</t>
  </si>
  <si>
    <t>JURNAL PENYESUAIAN</t>
  </si>
  <si>
    <t>DEBIT</t>
  </si>
  <si>
    <t>NERACA SALDO</t>
  </si>
  <si>
    <t>NO AKUN</t>
  </si>
  <si>
    <t>NERACA SALDO AWAL</t>
  </si>
  <si>
    <t>MUTASI</t>
  </si>
  <si>
    <t>NERACA SALDO AKHIR</t>
  </si>
  <si>
    <t>PENYESUAIAN</t>
  </si>
  <si>
    <t>NERACA SALDO DISESUAIKAN</t>
  </si>
  <si>
    <t>No AKUN</t>
  </si>
  <si>
    <t>NO BUKTI</t>
  </si>
  <si>
    <t>01/BM/01/06</t>
  </si>
  <si>
    <t>02/BM/01/06</t>
  </si>
  <si>
    <t>03/BM/01/06</t>
  </si>
  <si>
    <t>04/BM/01/06</t>
  </si>
  <si>
    <t>04/BM/01/07</t>
  </si>
  <si>
    <t>04/BM/01/08</t>
  </si>
  <si>
    <t>03/BM/01/07</t>
  </si>
  <si>
    <t>02/BM/01/07</t>
  </si>
  <si>
    <t>01/BM/01/07</t>
  </si>
  <si>
    <t>01/BM/01/08</t>
  </si>
  <si>
    <t>01/BM/01/09</t>
  </si>
  <si>
    <t>PENJUALAN</t>
  </si>
  <si>
    <t>Jumlah Potongan dan Retur</t>
  </si>
  <si>
    <t>Laba Kotor Penjualan</t>
  </si>
  <si>
    <t>BEBAN USAHA</t>
  </si>
  <si>
    <t>Jumlah Beban Usaha</t>
  </si>
  <si>
    <t>Laba Sebelum Pendapatan dan Beban di Luar Usaha</t>
  </si>
  <si>
    <t>Pendapatan Lain-Lain</t>
  </si>
  <si>
    <t>Jumlah Pendapatan Lain-Lain</t>
  </si>
  <si>
    <t>Beban Lain-Lain</t>
  </si>
  <si>
    <t>Jumlah Beban Lain-Lain</t>
  </si>
  <si>
    <t>Jumlah Pendapatan dan Beban Lain-Lain</t>
  </si>
  <si>
    <t>Laba Bersih sebelum Pajak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</si>
</sst>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Rp&quot;* #,##0_-;\-&quot;Rp&quot;* #,##0_-;_-&quot;Rp&quot;* &quot;-&quot;_-;_-@_-"/>
    <numFmt numFmtId="43" formatCode="_-* #,##0.00_-;\-* #,##0.00_-;_-* &quot;-&quot;??_-;_-@_-"/>
    <numFmt numFmtId="164" formatCode="&quot;Rp&quot;#,##0_);[Red]\(&quot;Rp&quot;#,##0\)"/>
    <numFmt numFmtId="165" formatCode="_(&quot;Rp&quot;* #,##0_);_(&quot;Rp&quot;* \(#,##0\);_(&quot;Rp&quot;* &quot;-&quot;_);_(@_)"/>
    <numFmt numFmtId="166" formatCode="&quot;Rp&quot;#,##0"/>
    <numFmt numFmtId="167" formatCode="&quot;Rp&quot;#,##0;[Red]&quot;Rp&quot;#,##0"/>
    <numFmt numFmtId="169" formatCode="_(* #,##0_);_(* \(#,##0\);_(* &quot;-&quot;??_);_(@_)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7">
    <xf numFmtId="0" fontId="0" fillId="0" borderId="0" xfId="0"/>
    <xf numFmtId="0" fontId="0" fillId="0" borderId="0" xfId="0"/>
    <xf numFmtId="166" fontId="0" fillId="0" borderId="0" xfId="0" applyNumberFormat="1"/>
    <xf numFmtId="167" fontId="0" fillId="0" borderId="0" xfId="0" applyNumberFormat="1"/>
    <xf numFmtId="166" fontId="0" fillId="0" borderId="5" xfId="0" applyNumberFormat="1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/>
    </xf>
    <xf numFmtId="0" fontId="0" fillId="0" borderId="3" xfId="0" applyBorder="1"/>
    <xf numFmtId="0" fontId="0" fillId="0" borderId="13" xfId="0" applyBorder="1"/>
    <xf numFmtId="0" fontId="0" fillId="0" borderId="5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166" fontId="0" fillId="0" borderId="15" xfId="0" applyNumberFormat="1" applyBorder="1"/>
    <xf numFmtId="166" fontId="0" fillId="0" borderId="10" xfId="0" applyNumberFormat="1" applyBorder="1"/>
    <xf numFmtId="166" fontId="0" fillId="0" borderId="11" xfId="0" applyNumberFormat="1" applyBorder="1"/>
    <xf numFmtId="166" fontId="0" fillId="0" borderId="14" xfId="0" applyNumberFormat="1" applyBorder="1"/>
    <xf numFmtId="166" fontId="0" fillId="0" borderId="13" xfId="0" applyNumberFormat="1" applyBorder="1"/>
    <xf numFmtId="0" fontId="0" fillId="0" borderId="0" xfId="0"/>
    <xf numFmtId="165" fontId="0" fillId="0" borderId="0" xfId="1" applyFont="1"/>
    <xf numFmtId="0" fontId="3" fillId="0" borderId="0" xfId="0" applyFont="1" applyAlignment="1"/>
    <xf numFmtId="0" fontId="0" fillId="0" borderId="0" xfId="0" applyAlignment="1"/>
    <xf numFmtId="0" fontId="0" fillId="0" borderId="18" xfId="0" applyBorder="1"/>
    <xf numFmtId="0" fontId="3" fillId="0" borderId="18" xfId="0" applyFont="1" applyBorder="1"/>
    <xf numFmtId="0" fontId="3" fillId="0" borderId="16" xfId="0" applyFont="1" applyBorder="1" applyAlignment="1">
      <alignment vertical="center"/>
    </xf>
    <xf numFmtId="0" fontId="3" fillId="0" borderId="17" xfId="0" applyFont="1" applyBorder="1"/>
    <xf numFmtId="0" fontId="4" fillId="0" borderId="18" xfId="0" applyFont="1" applyBorder="1"/>
    <xf numFmtId="165" fontId="0" fillId="0" borderId="16" xfId="1" applyFont="1" applyBorder="1"/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166" fontId="0" fillId="0" borderId="14" xfId="0" applyNumberFormat="1" applyFill="1" applyBorder="1" applyAlignment="1">
      <alignment horizontal="center"/>
    </xf>
    <xf numFmtId="0" fontId="0" fillId="0" borderId="0" xfId="0" applyFill="1" applyAlignment="1">
      <alignment horizontal="left" indent="27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 applyBorder="1"/>
    <xf numFmtId="0" fontId="0" fillId="0" borderId="10" xfId="0" applyBorder="1" applyAlignment="1"/>
    <xf numFmtId="0" fontId="0" fillId="0" borderId="15" xfId="0" applyBorder="1" applyAlignment="1"/>
    <xf numFmtId="0" fontId="0" fillId="0" borderId="11" xfId="0" applyBorder="1" applyAlignment="1"/>
    <xf numFmtId="0" fontId="3" fillId="0" borderId="0" xfId="0" applyFont="1" applyFill="1" applyAlignment="1">
      <alignment horizontal="center"/>
    </xf>
    <xf numFmtId="0" fontId="0" fillId="0" borderId="15" xfId="0" applyFill="1" applyBorder="1" applyAlignment="1"/>
    <xf numFmtId="0" fontId="0" fillId="0" borderId="11" xfId="0" applyFill="1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/>
    <xf numFmtId="166" fontId="0" fillId="0" borderId="3" xfId="0" applyNumberFormat="1" applyBorder="1"/>
    <xf numFmtId="166" fontId="0" fillId="0" borderId="7" xfId="0" applyNumberFormat="1" applyBorder="1"/>
    <xf numFmtId="166" fontId="0" fillId="0" borderId="0" xfId="0" applyNumberFormat="1" applyBorder="1"/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6" fontId="0" fillId="0" borderId="15" xfId="0" applyNumberFormat="1" applyFill="1" applyBorder="1" applyAlignment="1">
      <alignment horizontal="center" vertical="center"/>
    </xf>
    <xf numFmtId="166" fontId="0" fillId="0" borderId="1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0" fillId="0" borderId="21" xfId="0" applyFill="1" applyBorder="1" applyAlignment="1"/>
    <xf numFmtId="164" fontId="0" fillId="0" borderId="21" xfId="0" applyNumberFormat="1" applyFill="1" applyBorder="1" applyAlignment="1"/>
    <xf numFmtId="0" fontId="0" fillId="0" borderId="21" xfId="0" applyBorder="1"/>
    <xf numFmtId="42" fontId="0" fillId="0" borderId="21" xfId="0" applyNumberFormat="1" applyBorder="1"/>
    <xf numFmtId="0" fontId="0" fillId="0" borderId="1" xfId="0" applyBorder="1"/>
    <xf numFmtId="0" fontId="7" fillId="0" borderId="21" xfId="0" applyFont="1" applyBorder="1"/>
    <xf numFmtId="0" fontId="0" fillId="0" borderId="21" xfId="0" applyBorder="1" applyAlignment="1">
      <alignment horizontal="left" indent="6"/>
    </xf>
    <xf numFmtId="0" fontId="3" fillId="0" borderId="0" xfId="0" applyFont="1" applyFill="1" applyBorder="1" applyAlignment="1"/>
    <xf numFmtId="0" fontId="7" fillId="0" borderId="0" xfId="0" applyFont="1" applyBorder="1"/>
    <xf numFmtId="0" fontId="0" fillId="0" borderId="0" xfId="0" applyBorder="1" applyAlignment="1">
      <alignment horizontal="left" indent="6"/>
    </xf>
    <xf numFmtId="0" fontId="0" fillId="0" borderId="3" xfId="0" applyFill="1" applyBorder="1" applyAlignment="1"/>
    <xf numFmtId="0" fontId="0" fillId="0" borderId="21" xfId="0" applyFont="1" applyBorder="1"/>
    <xf numFmtId="0" fontId="3" fillId="0" borderId="21" xfId="0" applyFont="1" applyFill="1" applyBorder="1" applyAlignment="1">
      <alignment horizontal="center"/>
    </xf>
    <xf numFmtId="164" fontId="3" fillId="0" borderId="21" xfId="0" applyNumberFormat="1" applyFont="1" applyFill="1" applyBorder="1" applyAlignment="1"/>
    <xf numFmtId="0" fontId="5" fillId="0" borderId="21" xfId="0" applyFont="1" applyFill="1" applyBorder="1" applyAlignment="1">
      <alignment horizontal="center"/>
    </xf>
    <xf numFmtId="167" fontId="5" fillId="0" borderId="21" xfId="0" applyNumberFormat="1" applyFont="1" applyFill="1" applyBorder="1" applyAlignment="1">
      <alignment horizontal="center"/>
    </xf>
    <xf numFmtId="166" fontId="5" fillId="0" borderId="21" xfId="0" applyNumberFormat="1" applyFont="1" applyFill="1" applyBorder="1" applyAlignment="1">
      <alignment horizontal="center"/>
    </xf>
    <xf numFmtId="0" fontId="5" fillId="0" borderId="21" xfId="0" applyFont="1" applyFill="1" applyBorder="1"/>
    <xf numFmtId="167" fontId="5" fillId="0" borderId="21" xfId="0" applyNumberFormat="1" applyFont="1" applyFill="1" applyBorder="1" applyAlignment="1">
      <alignment horizontal="right"/>
    </xf>
    <xf numFmtId="166" fontId="5" fillId="0" borderId="21" xfId="0" applyNumberFormat="1" applyFont="1" applyFill="1" applyBorder="1"/>
    <xf numFmtId="167" fontId="0" fillId="0" borderId="21" xfId="0" applyNumberFormat="1" applyBorder="1"/>
    <xf numFmtId="166" fontId="0" fillId="0" borderId="21" xfId="0" applyNumberFormat="1" applyBorder="1"/>
    <xf numFmtId="17" fontId="0" fillId="0" borderId="21" xfId="0" quotePrefix="1" applyNumberFormat="1" applyBorder="1"/>
    <xf numFmtId="0" fontId="0" fillId="0" borderId="21" xfId="0" quotePrefix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/>
    <xf numFmtId="167" fontId="3" fillId="0" borderId="21" xfId="0" applyNumberFormat="1" applyFont="1" applyBorder="1"/>
    <xf numFmtId="166" fontId="3" fillId="0" borderId="21" xfId="0" applyNumberFormat="1" applyFont="1" applyBorder="1"/>
    <xf numFmtId="0" fontId="0" fillId="0" borderId="21" xfId="0" applyFill="1" applyBorder="1" applyAlignment="1">
      <alignment horizontal="center"/>
    </xf>
    <xf numFmtId="0" fontId="3" fillId="0" borderId="21" xfId="0" applyFont="1" applyFill="1" applyBorder="1" applyAlignment="1"/>
    <xf numFmtId="0" fontId="0" fillId="0" borderId="21" xfId="0" applyBorder="1" applyAlignment="1">
      <alignment horizontal="center"/>
    </xf>
    <xf numFmtId="0" fontId="0" fillId="0" borderId="21" xfId="0" applyFill="1" applyBorder="1"/>
    <xf numFmtId="0" fontId="3" fillId="0" borderId="0" xfId="0" applyFont="1" applyBorder="1"/>
    <xf numFmtId="0" fontId="3" fillId="0" borderId="16" xfId="0" applyFont="1" applyBorder="1"/>
    <xf numFmtId="0" fontId="0" fillId="0" borderId="0" xfId="0" applyFont="1" applyBorder="1"/>
    <xf numFmtId="42" fontId="0" fillId="0" borderId="0" xfId="0" applyNumberFormat="1" applyFill="1"/>
    <xf numFmtId="42" fontId="0" fillId="0" borderId="0" xfId="0" applyNumberFormat="1" applyFill="1" applyAlignment="1"/>
    <xf numFmtId="42" fontId="0" fillId="0" borderId="21" xfId="0" applyNumberFormat="1" applyFill="1" applyBorder="1" applyAlignment="1">
      <alignment horizontal="center"/>
    </xf>
    <xf numFmtId="42" fontId="0" fillId="0" borderId="21" xfId="0" applyNumberFormat="1" applyFill="1" applyBorder="1" applyAlignment="1"/>
    <xf numFmtId="42" fontId="3" fillId="0" borderId="21" xfId="0" applyNumberFormat="1" applyFont="1" applyFill="1" applyBorder="1" applyAlignment="1"/>
    <xf numFmtId="42" fontId="0" fillId="0" borderId="0" xfId="0" applyNumberFormat="1"/>
    <xf numFmtId="42" fontId="0" fillId="0" borderId="21" xfId="0" applyNumberFormat="1" applyFill="1" applyBorder="1" applyAlignment="1">
      <alignment horizontal="center" vertical="center"/>
    </xf>
    <xf numFmtId="42" fontId="3" fillId="0" borderId="21" xfId="0" applyNumberFormat="1" applyFont="1" applyFill="1" applyBorder="1" applyAlignment="1">
      <alignment horizontal="center"/>
    </xf>
    <xf numFmtId="42" fontId="0" fillId="0" borderId="21" xfId="0" applyNumberFormat="1" applyFill="1" applyBorder="1"/>
    <xf numFmtId="0" fontId="3" fillId="0" borderId="26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42" fontId="3" fillId="0" borderId="26" xfId="0" applyNumberFormat="1" applyFont="1" applyFill="1" applyBorder="1" applyAlignment="1">
      <alignment horizontal="center"/>
    </xf>
    <xf numFmtId="42" fontId="3" fillId="0" borderId="0" xfId="0" applyNumberFormat="1" applyFont="1" applyFill="1" applyBorder="1" applyAlignment="1"/>
    <xf numFmtId="42" fontId="0" fillId="0" borderId="0" xfId="0" applyNumberFormat="1" applyFill="1" applyBorder="1"/>
    <xf numFmtId="0" fontId="0" fillId="0" borderId="19" xfId="0" applyFill="1" applyBorder="1" applyAlignment="1">
      <alignment horizontal="center"/>
    </xf>
    <xf numFmtId="0" fontId="0" fillId="0" borderId="19" xfId="0" applyFill="1" applyBorder="1"/>
    <xf numFmtId="0" fontId="3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0" xfId="0" applyFill="1" applyBorder="1"/>
    <xf numFmtId="42" fontId="0" fillId="0" borderId="26" xfId="0" applyNumberFormat="1" applyFill="1" applyBorder="1" applyAlignment="1">
      <alignment horizontal="center"/>
    </xf>
    <xf numFmtId="42" fontId="0" fillId="0" borderId="27" xfId="0" applyNumberFormat="1" applyFill="1" applyBorder="1" applyAlignment="1">
      <alignment horizontal="center"/>
    </xf>
    <xf numFmtId="42" fontId="0" fillId="0" borderId="20" xfId="0" applyNumberFormat="1" applyFill="1" applyBorder="1" applyAlignment="1">
      <alignment horizontal="center"/>
    </xf>
    <xf numFmtId="42" fontId="0" fillId="0" borderId="26" xfId="0" applyNumberFormat="1" applyFill="1" applyBorder="1" applyAlignment="1"/>
    <xf numFmtId="42" fontId="0" fillId="0" borderId="27" xfId="0" applyNumberFormat="1" applyFill="1" applyBorder="1" applyAlignment="1"/>
    <xf numFmtId="42" fontId="3" fillId="0" borderId="27" xfId="0" applyNumberFormat="1" applyFont="1" applyFill="1" applyBorder="1" applyAlignment="1"/>
    <xf numFmtId="42" fontId="0" fillId="0" borderId="27" xfId="0" applyNumberFormat="1" applyFill="1" applyBorder="1"/>
    <xf numFmtId="42" fontId="0" fillId="0" borderId="20" xfId="0" applyNumberFormat="1" applyFill="1" applyBorder="1"/>
    <xf numFmtId="42" fontId="3" fillId="0" borderId="20" xfId="0" applyNumberFormat="1" applyFont="1" applyFill="1" applyBorder="1" applyAlignment="1"/>
    <xf numFmtId="0" fontId="3" fillId="0" borderId="21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/>
    </xf>
    <xf numFmtId="0" fontId="3" fillId="0" borderId="0" xfId="0" applyFont="1" applyFill="1" applyAlignment="1"/>
    <xf numFmtId="0" fontId="3" fillId="0" borderId="0" xfId="0" applyFont="1"/>
    <xf numFmtId="42" fontId="3" fillId="0" borderId="0" xfId="0" applyNumberFormat="1" applyFont="1"/>
    <xf numFmtId="0" fontId="3" fillId="0" borderId="21" xfId="0" applyFont="1" applyFill="1" applyBorder="1" applyAlignment="1">
      <alignment horizontal="center" vertical="center"/>
    </xf>
    <xf numFmtId="42" fontId="3" fillId="0" borderId="21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0" xfId="0" applyFont="1" applyFill="1" applyAlignment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42" fontId="3" fillId="0" borderId="0" xfId="0" applyNumberFormat="1" applyFont="1" applyFill="1" applyBorder="1" applyAlignment="1">
      <alignment horizontal="center"/>
    </xf>
    <xf numFmtId="166" fontId="0" fillId="0" borderId="6" xfId="0" applyNumberFormat="1" applyBorder="1"/>
    <xf numFmtId="166" fontId="0" fillId="0" borderId="2" xfId="0" applyNumberFormat="1" applyBorder="1"/>
    <xf numFmtId="166" fontId="0" fillId="0" borderId="4" xfId="0" applyNumberFormat="1" applyBorder="1"/>
    <xf numFmtId="0" fontId="0" fillId="0" borderId="0" xfId="0" applyBorder="1" applyAlignment="1"/>
    <xf numFmtId="0" fontId="0" fillId="0" borderId="4" xfId="0" applyBorder="1" applyAlignment="1"/>
    <xf numFmtId="17" fontId="0" fillId="0" borderId="0" xfId="0" quotePrefix="1" applyNumberFormat="1" applyBorder="1"/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0" xfId="0" quotePrefix="1" applyBorder="1"/>
    <xf numFmtId="166" fontId="0" fillId="0" borderId="8" xfId="0" applyNumberFormat="1" applyBorder="1"/>
    <xf numFmtId="166" fontId="0" fillId="0" borderId="1" xfId="0" applyNumberFormat="1" applyBorder="1"/>
    <xf numFmtId="0" fontId="0" fillId="0" borderId="8" xfId="0" applyBorder="1"/>
    <xf numFmtId="0" fontId="0" fillId="0" borderId="15" xfId="0" applyBorder="1" applyAlignment="1">
      <alignment horizontal="left"/>
    </xf>
    <xf numFmtId="0" fontId="0" fillId="0" borderId="15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" xfId="0" applyBorder="1" applyAlignment="1"/>
    <xf numFmtId="0" fontId="0" fillId="0" borderId="6" xfId="0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15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15" xfId="0" applyFont="1" applyBorder="1" applyAlignment="1">
      <alignment horizontal="left"/>
    </xf>
    <xf numFmtId="17" fontId="0" fillId="0" borderId="10" xfId="0" quotePrefix="1" applyNumberFormat="1" applyBorder="1" applyAlignment="1">
      <alignment horizontal="left"/>
    </xf>
    <xf numFmtId="0" fontId="8" fillId="0" borderId="11" xfId="0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17" fontId="0" fillId="0" borderId="4" xfId="0" applyNumberForma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0" fillId="0" borderId="2" xfId="0" quotePrefix="1" applyBorder="1" applyAlignment="1">
      <alignment horizontal="left"/>
    </xf>
    <xf numFmtId="0" fontId="8" fillId="0" borderId="4" xfId="0" quotePrefix="1" applyFont="1" applyBorder="1" applyAlignment="1">
      <alignment horizontal="left"/>
    </xf>
    <xf numFmtId="17" fontId="8" fillId="0" borderId="10" xfId="0" applyNumberFormat="1" applyFont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2" xfId="0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0" xfId="0" applyFont="1" applyBorder="1"/>
    <xf numFmtId="15" fontId="8" fillId="0" borderId="22" xfId="0" applyNumberFormat="1" applyFont="1" applyBorder="1"/>
    <xf numFmtId="0" fontId="8" fillId="0" borderId="21" xfId="0" applyFont="1" applyBorder="1"/>
    <xf numFmtId="0" fontId="6" fillId="0" borderId="20" xfId="0" applyFont="1" applyBorder="1"/>
    <xf numFmtId="0" fontId="6" fillId="0" borderId="21" xfId="0" applyFont="1" applyBorder="1"/>
    <xf numFmtId="15" fontId="8" fillId="0" borderId="21" xfId="0" applyNumberFormat="1" applyFont="1" applyBorder="1"/>
    <xf numFmtId="169" fontId="0" fillId="0" borderId="21" xfId="2" applyNumberFormat="1" applyFont="1" applyBorder="1"/>
    <xf numFmtId="15" fontId="8" fillId="0" borderId="20" xfId="0" applyNumberFormat="1" applyFont="1" applyBorder="1"/>
    <xf numFmtId="0" fontId="0" fillId="0" borderId="2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6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2" fontId="0" fillId="0" borderId="0" xfId="0" applyNumberFormat="1" applyFill="1" applyAlignment="1">
      <alignment horizontal="left" indent="27"/>
    </xf>
    <xf numFmtId="42" fontId="0" fillId="0" borderId="16" xfId="0" applyNumberFormat="1" applyFill="1" applyBorder="1" applyAlignment="1">
      <alignment horizontal="center" vertical="center"/>
    </xf>
    <xf numFmtId="42" fontId="0" fillId="0" borderId="28" xfId="0" applyNumberFormat="1" applyFill="1" applyBorder="1" applyAlignment="1">
      <alignment horizontal="center" vertical="center"/>
    </xf>
    <xf numFmtId="42" fontId="0" fillId="0" borderId="25" xfId="0" applyNumberFormat="1" applyFill="1" applyBorder="1" applyAlignment="1">
      <alignment horizontal="center"/>
    </xf>
    <xf numFmtId="42" fontId="0" fillId="0" borderId="21" xfId="0" applyNumberFormat="1" applyFill="1" applyBorder="1" applyAlignment="1">
      <alignment horizontal="center"/>
    </xf>
    <xf numFmtId="42" fontId="0" fillId="0" borderId="19" xfId="0" applyNumberFormat="1" applyFill="1" applyBorder="1" applyAlignment="1">
      <alignment horizontal="center" vertical="center"/>
    </xf>
    <xf numFmtId="42" fontId="0" fillId="0" borderId="30" xfId="0" applyNumberFormat="1" applyFill="1" applyBorder="1" applyAlignment="1">
      <alignment horizontal="center" vertical="center"/>
    </xf>
    <xf numFmtId="42" fontId="0" fillId="0" borderId="25" xfId="0" applyNumberFormat="1" applyFill="1" applyBorder="1"/>
    <xf numFmtId="42" fontId="6" fillId="0" borderId="20" xfId="0" applyNumberFormat="1" applyFont="1" applyBorder="1"/>
    <xf numFmtId="42" fontId="6" fillId="0" borderId="20" xfId="2" applyNumberFormat="1" applyFont="1" applyBorder="1"/>
    <xf numFmtId="42" fontId="8" fillId="0" borderId="21" xfId="2" applyNumberFormat="1" applyFont="1" applyBorder="1"/>
    <xf numFmtId="42" fontId="0" fillId="0" borderId="21" xfId="2" applyNumberFormat="1" applyFont="1" applyBorder="1"/>
    <xf numFmtId="42" fontId="8" fillId="0" borderId="23" xfId="2" applyNumberFormat="1" applyFont="1" applyBorder="1"/>
    <xf numFmtId="42" fontId="6" fillId="0" borderId="21" xfId="0" applyNumberFormat="1" applyFont="1" applyBorder="1"/>
    <xf numFmtId="42" fontId="6" fillId="0" borderId="21" xfId="2" applyNumberFormat="1" applyFont="1" applyBorder="1"/>
    <xf numFmtId="42" fontId="8" fillId="0" borderId="21" xfId="0" applyNumberFormat="1" applyFont="1" applyBorder="1"/>
    <xf numFmtId="42" fontId="0" fillId="0" borderId="21" xfId="2" applyNumberFormat="1" applyFont="1" applyBorder="1" applyAlignment="1"/>
    <xf numFmtId="42" fontId="0" fillId="0" borderId="21" xfId="0" applyNumberFormat="1" applyFont="1" applyBorder="1"/>
    <xf numFmtId="0" fontId="0" fillId="0" borderId="21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quotePrefix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1" xfId="0" quotePrefix="1" applyBorder="1" applyAlignment="1">
      <alignment horizontal="center" vertical="center"/>
    </xf>
    <xf numFmtId="42" fontId="0" fillId="0" borderId="26" xfId="0" applyNumberFormat="1" applyBorder="1"/>
    <xf numFmtId="0" fontId="0" fillId="0" borderId="16" xfId="0" applyBorder="1"/>
    <xf numFmtId="42" fontId="0" fillId="0" borderId="16" xfId="0" applyNumberFormat="1" applyBorder="1"/>
    <xf numFmtId="0" fontId="0" fillId="0" borderId="2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9" fontId="0" fillId="0" borderId="0" xfId="2" applyNumberFormat="1" applyFont="1"/>
    <xf numFmtId="169" fontId="0" fillId="0" borderId="0" xfId="2" applyNumberFormat="1" applyFont="1" applyBorder="1"/>
    <xf numFmtId="42" fontId="3" fillId="0" borderId="21" xfId="0" applyNumberFormat="1" applyFont="1" applyBorder="1"/>
    <xf numFmtId="0" fontId="3" fillId="0" borderId="21" xfId="0" applyFont="1" applyBorder="1" applyAlignment="1">
      <alignment horizontal="center" vertical="center"/>
    </xf>
    <xf numFmtId="42" fontId="3" fillId="0" borderId="21" xfId="0" applyNumberFormat="1" applyFont="1" applyBorder="1" applyAlignment="1">
      <alignment horizontal="center"/>
    </xf>
    <xf numFmtId="42" fontId="3" fillId="0" borderId="21" xfId="0" applyNumberFormat="1" applyFont="1" applyBorder="1" applyAlignment="1">
      <alignment horizontal="center" vertical="center"/>
    </xf>
    <xf numFmtId="169" fontId="0" fillId="0" borderId="25" xfId="2" applyNumberFormat="1" applyFont="1" applyBorder="1"/>
    <xf numFmtId="17" fontId="0" fillId="0" borderId="21" xfId="0" quotePrefix="1" applyNumberFormat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42" fontId="0" fillId="0" borderId="20" xfId="0" applyNumberFormat="1" applyBorder="1"/>
    <xf numFmtId="0" fontId="0" fillId="0" borderId="21" xfId="0" applyFont="1" applyBorder="1" applyAlignment="1">
      <alignment vertical="center"/>
    </xf>
  </cellXfs>
  <cellStyles count="3">
    <cellStyle name="Comma" xfId="2" builtinId="3"/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ownloads\TUBES%20PL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AKUN"/>
      <sheetName val="MASTER BB"/>
      <sheetName val="JURNAL UMUM"/>
      <sheetName val="BB PIUTANG"/>
      <sheetName val="BB UTANG"/>
      <sheetName val="BB PERSEDIAAN"/>
      <sheetName val="BUKU BESAR"/>
      <sheetName val="JURNAL PENYESUAIAN"/>
      <sheetName val="NERACA SALDO"/>
      <sheetName val="LAP RL"/>
      <sheetName val="LAP PERUBAHAN LABA DITAHAN"/>
      <sheetName val="LAP POSISI KEUANGAN"/>
      <sheetName val="JURNAL PENUTUP"/>
      <sheetName val="NERACA SALDO PENUT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Laba Penjualan Aktiva Tetap</v>
          </cell>
        </row>
        <row r="53">
          <cell r="B53" t="str">
            <v>Pendapatan Jasa Giro</v>
          </cell>
        </row>
        <row r="54">
          <cell r="B54" t="str">
            <v>Beban Administrasi Bank</v>
          </cell>
        </row>
        <row r="55">
          <cell r="B55" t="str">
            <v>Beban Bunga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tabSelected="1" topLeftCell="A29" zoomScale="74" zoomScaleNormal="74" workbookViewId="0">
      <selection activeCell="A20" sqref="A20:A25"/>
    </sheetView>
  </sheetViews>
  <sheetFormatPr defaultRowHeight="14.5" x14ac:dyDescent="0.35"/>
  <cols>
    <col min="1" max="1" width="9.54296875" bestFit="1" customWidth="1"/>
    <col min="2" max="2" width="34.36328125" style="31" customWidth="1"/>
    <col min="3" max="3" width="4.1796875" bestFit="1" customWidth="1"/>
    <col min="4" max="4" width="13.6328125" style="3" customWidth="1"/>
    <col min="5" max="5" width="16" style="2" customWidth="1"/>
    <col min="7" max="7" width="14.08984375" style="32" customWidth="1"/>
    <col min="8" max="8" width="37.54296875" style="32" customWidth="1"/>
    <col min="9" max="9" width="14.54296875" style="106" bestFit="1" customWidth="1"/>
    <col min="10" max="10" width="36" style="32" customWidth="1"/>
    <col min="11" max="11" width="16.81640625" style="32" bestFit="1" customWidth="1"/>
    <col min="12" max="12" width="10.36328125" customWidth="1"/>
    <col min="13" max="13" width="12" customWidth="1"/>
    <col min="14" max="14" width="13.90625" customWidth="1"/>
  </cols>
  <sheetData>
    <row r="1" spans="1:17" x14ac:dyDescent="0.35">
      <c r="A1" s="54" t="s">
        <v>68</v>
      </c>
      <c r="B1" s="55"/>
      <c r="C1" s="55"/>
      <c r="D1" s="55"/>
      <c r="E1" s="55"/>
      <c r="L1" s="21"/>
      <c r="M1" s="21"/>
      <c r="N1" s="21"/>
      <c r="O1" s="21"/>
      <c r="P1" s="21"/>
      <c r="Q1" s="21"/>
    </row>
    <row r="2" spans="1:17" x14ac:dyDescent="0.35">
      <c r="A2" s="54"/>
      <c r="B2" s="55"/>
      <c r="C2" s="55"/>
      <c r="D2" s="55"/>
      <c r="E2" s="55"/>
      <c r="L2" s="21"/>
      <c r="M2" s="21"/>
      <c r="N2" s="21"/>
      <c r="O2" s="21"/>
      <c r="P2" s="21"/>
      <c r="Q2" s="21"/>
    </row>
    <row r="3" spans="1:17" x14ac:dyDescent="0.35">
      <c r="A3" s="85" t="s">
        <v>6</v>
      </c>
      <c r="B3" s="85" t="s">
        <v>7</v>
      </c>
      <c r="C3" s="85" t="s">
        <v>8</v>
      </c>
      <c r="D3" s="86" t="s">
        <v>9</v>
      </c>
      <c r="E3" s="87" t="s">
        <v>10</v>
      </c>
      <c r="H3" s="145" t="s">
        <v>259</v>
      </c>
      <c r="I3" s="32"/>
    </row>
    <row r="4" spans="1:17" x14ac:dyDescent="0.35">
      <c r="A4" s="73" t="s">
        <v>0</v>
      </c>
      <c r="B4" s="73" t="s">
        <v>80</v>
      </c>
      <c r="C4" s="88"/>
      <c r="D4" s="89"/>
      <c r="E4" s="90"/>
      <c r="H4" s="145" t="s">
        <v>260</v>
      </c>
      <c r="I4" s="32"/>
    </row>
    <row r="5" spans="1:17" x14ac:dyDescent="0.35">
      <c r="A5" s="73" t="s">
        <v>162</v>
      </c>
      <c r="B5" s="73" t="s">
        <v>81</v>
      </c>
      <c r="C5" s="73"/>
      <c r="D5" s="91">
        <v>2500000</v>
      </c>
      <c r="E5" s="92"/>
      <c r="G5" s="144"/>
      <c r="H5" s="146" t="s">
        <v>261</v>
      </c>
      <c r="I5" s="39"/>
      <c r="J5" s="50"/>
      <c r="K5" s="39"/>
    </row>
    <row r="6" spans="1:17" x14ac:dyDescent="0.35">
      <c r="A6" s="73" t="s">
        <v>163</v>
      </c>
      <c r="B6" s="73" t="s">
        <v>82</v>
      </c>
      <c r="C6" s="73"/>
      <c r="D6" s="91">
        <v>750000</v>
      </c>
      <c r="E6" s="92"/>
      <c r="G6" s="70" t="s">
        <v>11</v>
      </c>
      <c r="H6" s="70" t="s">
        <v>12</v>
      </c>
      <c r="I6" s="108" t="s">
        <v>14</v>
      </c>
      <c r="J6" s="38"/>
      <c r="K6" s="39"/>
      <c r="L6" s="32"/>
      <c r="M6" s="32"/>
      <c r="N6" s="21"/>
    </row>
    <row r="7" spans="1:17" x14ac:dyDescent="0.35">
      <c r="A7" s="73" t="s">
        <v>161</v>
      </c>
      <c r="B7" s="73" t="s">
        <v>83</v>
      </c>
      <c r="C7" s="73"/>
      <c r="D7" s="91"/>
      <c r="E7" s="92"/>
      <c r="G7" s="70" t="s">
        <v>70</v>
      </c>
      <c r="H7" s="71" t="s">
        <v>71</v>
      </c>
      <c r="I7" s="109">
        <v>10000000</v>
      </c>
      <c r="J7" s="50"/>
      <c r="K7" s="39"/>
      <c r="L7" s="32"/>
      <c r="M7" s="32"/>
      <c r="N7" s="21"/>
    </row>
    <row r="8" spans="1:17" x14ac:dyDescent="0.35">
      <c r="A8" s="73" t="s">
        <v>164</v>
      </c>
      <c r="B8" s="73" t="s">
        <v>84</v>
      </c>
      <c r="C8" s="73"/>
      <c r="D8" s="91">
        <v>45000000</v>
      </c>
      <c r="E8" s="92"/>
      <c r="G8" s="70"/>
      <c r="H8" s="73" t="s">
        <v>219</v>
      </c>
      <c r="I8" s="109"/>
      <c r="J8" s="50"/>
      <c r="K8" s="39"/>
      <c r="L8" s="144"/>
      <c r="M8" s="39"/>
      <c r="N8" s="21"/>
    </row>
    <row r="9" spans="1:17" x14ac:dyDescent="0.35">
      <c r="A9" s="73" t="s">
        <v>165</v>
      </c>
      <c r="B9" s="73" t="s">
        <v>85</v>
      </c>
      <c r="C9" s="73"/>
      <c r="D9" s="91">
        <v>25000000</v>
      </c>
      <c r="E9" s="92"/>
      <c r="G9" s="70"/>
      <c r="H9" s="73" t="s">
        <v>220</v>
      </c>
      <c r="I9" s="109"/>
      <c r="J9" s="50"/>
      <c r="K9" s="39"/>
      <c r="L9" s="21"/>
      <c r="M9" s="21"/>
      <c r="N9" s="21"/>
    </row>
    <row r="10" spans="1:17" x14ac:dyDescent="0.35">
      <c r="A10" s="73" t="s">
        <v>166</v>
      </c>
      <c r="B10" s="73" t="s">
        <v>86</v>
      </c>
      <c r="C10" s="73"/>
      <c r="D10" s="91"/>
      <c r="E10" s="92"/>
      <c r="G10" s="70"/>
      <c r="H10" s="73" t="s">
        <v>221</v>
      </c>
      <c r="I10" s="109"/>
      <c r="J10" s="50"/>
      <c r="K10" s="39"/>
      <c r="L10" s="21"/>
      <c r="M10" s="21"/>
      <c r="N10" s="21"/>
    </row>
    <row r="11" spans="1:17" x14ac:dyDescent="0.35">
      <c r="A11" s="73" t="s">
        <v>167</v>
      </c>
      <c r="B11" s="73" t="s">
        <v>214</v>
      </c>
      <c r="C11" s="73"/>
      <c r="D11" s="91">
        <v>47500000</v>
      </c>
      <c r="E11" s="92"/>
      <c r="G11" s="70"/>
      <c r="H11" s="73" t="s">
        <v>222</v>
      </c>
      <c r="I11" s="109"/>
      <c r="J11" s="50"/>
      <c r="K11" s="39"/>
      <c r="L11" s="21"/>
      <c r="M11" s="21"/>
      <c r="N11" s="21"/>
    </row>
    <row r="12" spans="1:17" x14ac:dyDescent="0.35">
      <c r="A12" s="73" t="s">
        <v>168</v>
      </c>
      <c r="B12" s="73" t="s">
        <v>87</v>
      </c>
      <c r="C12" s="73"/>
      <c r="D12" s="91"/>
      <c r="E12" s="92"/>
      <c r="G12" s="70"/>
      <c r="H12" s="73" t="s">
        <v>223</v>
      </c>
      <c r="I12" s="109"/>
      <c r="J12" s="50"/>
      <c r="K12" s="39"/>
      <c r="L12" s="21"/>
      <c r="M12" s="21"/>
      <c r="N12" s="21"/>
    </row>
    <row r="13" spans="1:17" x14ac:dyDescent="0.35">
      <c r="A13" s="73" t="s">
        <v>169</v>
      </c>
      <c r="B13" s="73" t="s">
        <v>88</v>
      </c>
      <c r="C13" s="73"/>
      <c r="D13" s="91"/>
      <c r="E13" s="92"/>
      <c r="G13" s="70"/>
      <c r="H13" s="76" t="s">
        <v>224</v>
      </c>
      <c r="I13" s="109"/>
      <c r="J13" s="50"/>
      <c r="K13" s="39"/>
      <c r="L13" s="21"/>
      <c r="M13" s="21"/>
      <c r="N13" s="21"/>
    </row>
    <row r="14" spans="1:17" x14ac:dyDescent="0.35">
      <c r="A14" s="73" t="s">
        <v>170</v>
      </c>
      <c r="B14" s="73" t="s">
        <v>89</v>
      </c>
      <c r="C14" s="73"/>
      <c r="D14" s="91"/>
      <c r="E14" s="92"/>
      <c r="G14" s="70"/>
      <c r="H14" s="77" t="s">
        <v>225</v>
      </c>
      <c r="I14" s="109"/>
      <c r="J14" s="50"/>
      <c r="K14" s="39"/>
      <c r="L14" s="21"/>
      <c r="M14" s="21"/>
      <c r="N14" s="21"/>
    </row>
    <row r="15" spans="1:17" x14ac:dyDescent="0.35">
      <c r="A15" s="73" t="s">
        <v>171</v>
      </c>
      <c r="B15" s="73" t="s">
        <v>90</v>
      </c>
      <c r="C15" s="73"/>
      <c r="D15" s="91">
        <v>166380000</v>
      </c>
      <c r="E15" s="92"/>
      <c r="G15" s="70"/>
      <c r="H15" s="71"/>
      <c r="I15" s="109"/>
      <c r="J15" s="50"/>
      <c r="K15" s="39"/>
      <c r="L15" s="21"/>
      <c r="M15" s="21"/>
      <c r="N15" s="21"/>
    </row>
    <row r="16" spans="1:17" x14ac:dyDescent="0.35">
      <c r="A16" s="73" t="s">
        <v>187</v>
      </c>
      <c r="B16" s="73" t="s">
        <v>91</v>
      </c>
      <c r="C16" s="73"/>
      <c r="D16" s="91"/>
      <c r="E16" s="92"/>
      <c r="G16" s="70" t="s">
        <v>72</v>
      </c>
      <c r="H16" s="71" t="s">
        <v>73</v>
      </c>
      <c r="I16" s="109">
        <v>15000000</v>
      </c>
      <c r="J16" s="50"/>
      <c r="K16" s="39"/>
    </row>
    <row r="17" spans="1:14" x14ac:dyDescent="0.35">
      <c r="A17" s="73" t="s">
        <v>188</v>
      </c>
      <c r="B17" s="73" t="s">
        <v>92</v>
      </c>
      <c r="C17" s="73"/>
      <c r="D17" s="91"/>
      <c r="E17" s="92"/>
      <c r="G17" s="70"/>
      <c r="H17" s="82" t="s">
        <v>226</v>
      </c>
      <c r="I17" s="109"/>
      <c r="J17" s="50"/>
      <c r="K17" s="39"/>
      <c r="L17" s="21"/>
      <c r="M17" s="21"/>
      <c r="N17" s="21"/>
    </row>
    <row r="18" spans="1:14" x14ac:dyDescent="0.35">
      <c r="A18" s="73" t="s">
        <v>189</v>
      </c>
      <c r="B18" s="73" t="s">
        <v>93</v>
      </c>
      <c r="C18" s="73"/>
      <c r="D18" s="91"/>
      <c r="E18" s="92"/>
      <c r="G18" s="70"/>
      <c r="H18" s="73" t="s">
        <v>227</v>
      </c>
      <c r="I18" s="109"/>
      <c r="J18" s="50"/>
      <c r="K18" s="39"/>
      <c r="L18" s="21"/>
      <c r="M18" s="21"/>
      <c r="N18" s="21"/>
    </row>
    <row r="19" spans="1:14" x14ac:dyDescent="0.35">
      <c r="A19" s="93" t="s">
        <v>191</v>
      </c>
      <c r="B19" s="73" t="s">
        <v>94</v>
      </c>
      <c r="C19" s="73"/>
      <c r="D19" s="91"/>
      <c r="E19" s="92"/>
      <c r="G19" s="70"/>
      <c r="H19" s="73" t="s">
        <v>228</v>
      </c>
      <c r="I19" s="109"/>
      <c r="J19" s="50"/>
      <c r="K19" s="39"/>
      <c r="L19" s="21"/>
      <c r="M19" s="21"/>
      <c r="N19" s="21"/>
    </row>
    <row r="20" spans="1:14" x14ac:dyDescent="0.35">
      <c r="A20" s="94" t="s">
        <v>192</v>
      </c>
      <c r="B20" s="73" t="s">
        <v>95</v>
      </c>
      <c r="C20" s="73"/>
      <c r="D20" s="91"/>
      <c r="E20" s="92"/>
      <c r="G20" s="70"/>
      <c r="H20" s="73" t="s">
        <v>222</v>
      </c>
      <c r="I20" s="109"/>
      <c r="J20" s="50"/>
      <c r="K20" s="39"/>
      <c r="L20" s="21"/>
      <c r="M20" s="21"/>
      <c r="N20" s="21"/>
    </row>
    <row r="21" spans="1:14" x14ac:dyDescent="0.35">
      <c r="A21" s="94" t="s">
        <v>193</v>
      </c>
      <c r="B21" s="73" t="s">
        <v>96</v>
      </c>
      <c r="C21" s="73"/>
      <c r="D21" s="91">
        <v>25000000</v>
      </c>
      <c r="E21" s="92"/>
      <c r="G21" s="70"/>
      <c r="H21" s="73" t="s">
        <v>223</v>
      </c>
      <c r="I21" s="109"/>
      <c r="J21" s="50"/>
      <c r="K21" s="39"/>
      <c r="L21" s="21"/>
      <c r="M21" s="21"/>
      <c r="N21" s="21"/>
    </row>
    <row r="22" spans="1:14" x14ac:dyDescent="0.35">
      <c r="A22" s="94" t="s">
        <v>194</v>
      </c>
      <c r="B22" s="73" t="s">
        <v>97</v>
      </c>
      <c r="C22" s="73"/>
      <c r="D22" s="91"/>
      <c r="E22" s="92">
        <v>7500000</v>
      </c>
      <c r="G22" s="70"/>
      <c r="H22" s="76" t="s">
        <v>224</v>
      </c>
      <c r="I22" s="109"/>
      <c r="J22" s="50"/>
      <c r="K22" s="39"/>
      <c r="L22" s="21"/>
      <c r="M22" s="21"/>
      <c r="N22" s="21"/>
    </row>
    <row r="23" spans="1:14" x14ac:dyDescent="0.35">
      <c r="A23" s="94" t="s">
        <v>195</v>
      </c>
      <c r="B23" s="73" t="s">
        <v>98</v>
      </c>
      <c r="C23" s="73"/>
      <c r="D23" s="91"/>
      <c r="E23" s="92"/>
      <c r="G23" s="70"/>
      <c r="H23" s="77" t="s">
        <v>229</v>
      </c>
      <c r="I23" s="109"/>
      <c r="J23" s="50"/>
      <c r="K23" s="39"/>
      <c r="L23" s="21"/>
      <c r="M23" s="21"/>
      <c r="N23" s="21"/>
    </row>
    <row r="24" spans="1:14" x14ac:dyDescent="0.35">
      <c r="A24" s="94" t="s">
        <v>196</v>
      </c>
      <c r="B24" s="73" t="s">
        <v>99</v>
      </c>
      <c r="C24" s="73"/>
      <c r="D24" s="91">
        <v>45000000</v>
      </c>
      <c r="E24" s="92"/>
      <c r="G24" s="70"/>
      <c r="H24" s="71"/>
      <c r="I24" s="109"/>
      <c r="J24" s="50"/>
      <c r="K24" s="39"/>
      <c r="L24" s="21"/>
      <c r="M24" s="21"/>
      <c r="N24" s="21"/>
    </row>
    <row r="25" spans="1:14" x14ac:dyDescent="0.35">
      <c r="A25" s="94" t="s">
        <v>197</v>
      </c>
      <c r="B25" s="73" t="s">
        <v>100</v>
      </c>
      <c r="C25" s="73"/>
      <c r="D25" s="91"/>
      <c r="E25" s="92">
        <v>25000000</v>
      </c>
      <c r="G25" s="70" t="s">
        <v>74</v>
      </c>
      <c r="H25" s="71" t="s">
        <v>75</v>
      </c>
      <c r="I25" s="109">
        <v>7500000</v>
      </c>
      <c r="J25" s="50"/>
      <c r="K25" s="39"/>
      <c r="L25" s="21"/>
      <c r="M25" s="21"/>
      <c r="N25" s="21"/>
    </row>
    <row r="26" spans="1:14" x14ac:dyDescent="0.35">
      <c r="A26" s="94" t="s">
        <v>198</v>
      </c>
      <c r="B26" s="73" t="s">
        <v>101</v>
      </c>
      <c r="C26" s="73"/>
      <c r="D26" s="91"/>
      <c r="E26" s="92"/>
      <c r="G26" s="70"/>
      <c r="H26" s="73" t="s">
        <v>230</v>
      </c>
      <c r="I26" s="109"/>
      <c r="J26" s="50"/>
      <c r="K26" s="39"/>
      <c r="L26" s="21"/>
      <c r="M26" s="21"/>
      <c r="N26" s="21"/>
    </row>
    <row r="27" spans="1:14" x14ac:dyDescent="0.35">
      <c r="A27" s="73" t="s">
        <v>199</v>
      </c>
      <c r="B27" s="73" t="s">
        <v>213</v>
      </c>
      <c r="C27" s="73"/>
      <c r="D27" s="91"/>
      <c r="E27" s="92">
        <v>75000000</v>
      </c>
      <c r="G27" s="70"/>
      <c r="H27" s="73" t="s">
        <v>231</v>
      </c>
      <c r="I27" s="109"/>
      <c r="J27" s="50"/>
      <c r="K27" s="39"/>
      <c r="L27" s="21"/>
      <c r="M27" s="21"/>
      <c r="N27" s="21"/>
    </row>
    <row r="28" spans="1:14" x14ac:dyDescent="0.35">
      <c r="A28" s="73" t="s">
        <v>200</v>
      </c>
      <c r="B28" s="73" t="s">
        <v>102</v>
      </c>
      <c r="C28" s="73"/>
      <c r="D28" s="91"/>
      <c r="E28" s="92"/>
      <c r="G28" s="70"/>
      <c r="H28" s="73" t="s">
        <v>232</v>
      </c>
      <c r="I28" s="109"/>
      <c r="J28" s="50"/>
      <c r="K28" s="39"/>
      <c r="L28" s="21"/>
      <c r="M28" s="21"/>
      <c r="N28" s="21"/>
    </row>
    <row r="29" spans="1:14" x14ac:dyDescent="0.35">
      <c r="A29" s="73" t="s">
        <v>201</v>
      </c>
      <c r="B29" s="73" t="s">
        <v>103</v>
      </c>
      <c r="C29" s="73"/>
      <c r="D29" s="91"/>
      <c r="E29" s="92"/>
      <c r="G29" s="70"/>
      <c r="H29" s="73" t="s">
        <v>222</v>
      </c>
      <c r="I29" s="109"/>
      <c r="J29" s="50"/>
      <c r="K29" s="39"/>
      <c r="L29" s="21"/>
      <c r="M29" s="21"/>
      <c r="N29" s="21"/>
    </row>
    <row r="30" spans="1:14" x14ac:dyDescent="0.35">
      <c r="A30" s="73" t="s">
        <v>202</v>
      </c>
      <c r="B30" s="73" t="s">
        <v>104</v>
      </c>
      <c r="C30" s="73"/>
      <c r="D30" s="91"/>
      <c r="E30" s="92"/>
      <c r="G30" s="70"/>
      <c r="H30" s="73" t="s">
        <v>233</v>
      </c>
      <c r="I30" s="109"/>
      <c r="J30" s="50"/>
      <c r="K30" s="39"/>
      <c r="L30" s="21"/>
      <c r="M30" s="21"/>
      <c r="N30" s="21"/>
    </row>
    <row r="31" spans="1:14" x14ac:dyDescent="0.35">
      <c r="A31" s="73" t="s">
        <v>203</v>
      </c>
      <c r="B31" s="73" t="s">
        <v>105</v>
      </c>
      <c r="C31" s="73"/>
      <c r="D31" s="91"/>
      <c r="E31" s="92"/>
      <c r="G31" s="70"/>
      <c r="H31" s="76" t="s">
        <v>224</v>
      </c>
      <c r="I31" s="109"/>
      <c r="J31" s="50"/>
      <c r="K31" s="39"/>
      <c r="L31" s="21"/>
      <c r="M31" s="21"/>
      <c r="N31" s="21"/>
    </row>
    <row r="32" spans="1:14" x14ac:dyDescent="0.35">
      <c r="A32" s="73" t="s">
        <v>204</v>
      </c>
      <c r="B32" s="73" t="s">
        <v>106</v>
      </c>
      <c r="C32" s="73"/>
      <c r="D32" s="91"/>
      <c r="E32" s="92"/>
      <c r="G32" s="70"/>
      <c r="H32" s="77" t="s">
        <v>234</v>
      </c>
      <c r="I32" s="109"/>
      <c r="J32" s="50"/>
      <c r="K32" s="39"/>
      <c r="L32" s="21"/>
      <c r="M32" s="21"/>
      <c r="N32" s="21"/>
    </row>
    <row r="33" spans="1:17" x14ac:dyDescent="0.35">
      <c r="A33" s="73" t="s">
        <v>205</v>
      </c>
      <c r="B33" s="73" t="s">
        <v>107</v>
      </c>
      <c r="C33" s="73"/>
      <c r="D33" s="91"/>
      <c r="E33" s="92"/>
      <c r="G33" s="70"/>
      <c r="H33" s="71"/>
      <c r="I33" s="109"/>
      <c r="J33" s="50"/>
      <c r="K33" s="39"/>
      <c r="L33" s="21"/>
      <c r="M33" s="21"/>
      <c r="N33" s="21"/>
    </row>
    <row r="34" spans="1:17" x14ac:dyDescent="0.35">
      <c r="A34" s="94" t="s">
        <v>206</v>
      </c>
      <c r="B34" s="73" t="s">
        <v>108</v>
      </c>
      <c r="C34" s="73"/>
      <c r="D34" s="91"/>
      <c r="E34" s="92"/>
      <c r="G34" s="70" t="s">
        <v>76</v>
      </c>
      <c r="H34" s="71" t="s">
        <v>78</v>
      </c>
      <c r="I34" s="109">
        <v>15000000</v>
      </c>
      <c r="J34" s="50"/>
      <c r="K34" s="39"/>
    </row>
    <row r="35" spans="1:17" x14ac:dyDescent="0.35">
      <c r="A35" s="94" t="s">
        <v>207</v>
      </c>
      <c r="B35" s="73" t="s">
        <v>109</v>
      </c>
      <c r="C35" s="73"/>
      <c r="D35" s="91"/>
      <c r="E35" s="92">
        <v>75000000</v>
      </c>
      <c r="G35" s="70"/>
      <c r="H35" s="73" t="s">
        <v>235</v>
      </c>
      <c r="I35" s="109"/>
      <c r="J35" s="50"/>
      <c r="K35" s="39"/>
      <c r="L35" s="21"/>
      <c r="M35" s="21"/>
      <c r="N35" s="21"/>
      <c r="O35" s="21"/>
      <c r="P35" s="21"/>
    </row>
    <row r="36" spans="1:17" x14ac:dyDescent="0.35">
      <c r="A36" s="73" t="s">
        <v>190</v>
      </c>
      <c r="B36" s="73" t="s">
        <v>110</v>
      </c>
      <c r="C36" s="73"/>
      <c r="D36" s="91"/>
      <c r="E36" s="92">
        <v>150000000</v>
      </c>
      <c r="G36" s="70"/>
      <c r="H36" s="73" t="s">
        <v>236</v>
      </c>
      <c r="I36" s="109"/>
      <c r="J36" s="50"/>
      <c r="K36" s="39"/>
      <c r="L36" s="21"/>
      <c r="M36" s="21"/>
      <c r="N36" s="21"/>
      <c r="O36" s="21"/>
      <c r="P36" s="21"/>
    </row>
    <row r="37" spans="1:17" x14ac:dyDescent="0.35">
      <c r="A37" s="93" t="s">
        <v>208</v>
      </c>
      <c r="B37" s="73" t="s">
        <v>111</v>
      </c>
      <c r="C37" s="73"/>
      <c r="D37" s="91"/>
      <c r="E37" s="92">
        <v>24630000</v>
      </c>
      <c r="G37" s="70"/>
      <c r="H37" s="73" t="s">
        <v>237</v>
      </c>
      <c r="I37" s="109"/>
      <c r="J37" s="50"/>
      <c r="K37" s="39"/>
      <c r="L37" s="21"/>
      <c r="M37" s="21"/>
      <c r="N37" s="21"/>
      <c r="O37" s="21"/>
      <c r="P37" s="21"/>
    </row>
    <row r="38" spans="1:17" x14ac:dyDescent="0.35">
      <c r="A38" s="93" t="s">
        <v>209</v>
      </c>
      <c r="B38" s="73" t="s">
        <v>112</v>
      </c>
      <c r="C38" s="73"/>
      <c r="D38" s="91"/>
      <c r="E38" s="92"/>
      <c r="G38" s="70"/>
      <c r="H38" s="73" t="s">
        <v>222</v>
      </c>
      <c r="I38" s="109"/>
      <c r="J38" s="50"/>
      <c r="K38" s="39"/>
      <c r="L38" s="21"/>
      <c r="M38" s="21"/>
      <c r="N38" s="21"/>
      <c r="O38" s="21"/>
      <c r="P38" s="21"/>
    </row>
    <row r="39" spans="1:17" x14ac:dyDescent="0.35">
      <c r="A39" s="93" t="s">
        <v>210</v>
      </c>
      <c r="B39" s="73" t="s">
        <v>113</v>
      </c>
      <c r="C39" s="73"/>
      <c r="D39" s="91"/>
      <c r="E39" s="92"/>
      <c r="G39" s="70"/>
      <c r="H39" s="73" t="s">
        <v>233</v>
      </c>
      <c r="I39" s="109"/>
      <c r="J39" s="50"/>
      <c r="K39" s="39"/>
      <c r="L39" s="21"/>
      <c r="M39" s="21"/>
      <c r="N39" s="21"/>
      <c r="O39" s="21"/>
      <c r="P39" s="21"/>
    </row>
    <row r="40" spans="1:17" x14ac:dyDescent="0.35">
      <c r="A40" s="73" t="s">
        <v>1</v>
      </c>
      <c r="B40" s="73" t="s">
        <v>114</v>
      </c>
      <c r="C40" s="73"/>
      <c r="D40" s="91"/>
      <c r="E40" s="92"/>
      <c r="G40" s="70"/>
      <c r="H40" s="76" t="s">
        <v>224</v>
      </c>
      <c r="I40" s="109"/>
      <c r="J40" s="50"/>
      <c r="K40" s="39"/>
      <c r="L40" s="21"/>
      <c r="M40" s="21"/>
      <c r="N40" s="21"/>
      <c r="O40" s="21"/>
      <c r="P40" s="21"/>
    </row>
    <row r="41" spans="1:17" x14ac:dyDescent="0.35">
      <c r="A41" s="93" t="s">
        <v>211</v>
      </c>
      <c r="B41" s="73" t="s">
        <v>42</v>
      </c>
      <c r="C41" s="73"/>
      <c r="D41" s="91"/>
      <c r="E41" s="92"/>
      <c r="G41" s="70"/>
      <c r="H41" s="77" t="s">
        <v>238</v>
      </c>
      <c r="I41" s="109"/>
      <c r="J41" s="50"/>
      <c r="K41" s="39"/>
      <c r="L41" s="21"/>
      <c r="M41" s="21"/>
      <c r="N41" s="21"/>
      <c r="O41" s="21"/>
      <c r="P41" s="21"/>
    </row>
    <row r="42" spans="1:17" x14ac:dyDescent="0.35">
      <c r="A42" s="93" t="s">
        <v>212</v>
      </c>
      <c r="B42" s="73" t="s">
        <v>115</v>
      </c>
      <c r="C42" s="73"/>
      <c r="D42" s="91"/>
      <c r="E42" s="92"/>
      <c r="G42" s="70"/>
      <c r="H42" s="71"/>
      <c r="I42" s="109"/>
      <c r="J42" s="50"/>
      <c r="K42" s="39"/>
      <c r="L42" s="21"/>
      <c r="M42" s="21"/>
      <c r="N42" s="21"/>
      <c r="O42" s="21"/>
      <c r="P42" s="21"/>
    </row>
    <row r="43" spans="1:17" x14ac:dyDescent="0.35">
      <c r="A43" s="73" t="s">
        <v>3</v>
      </c>
      <c r="B43" s="73" t="s">
        <v>4</v>
      </c>
      <c r="C43" s="73"/>
      <c r="D43" s="91"/>
      <c r="E43" s="92"/>
      <c r="G43" s="70" t="s">
        <v>77</v>
      </c>
      <c r="H43" s="71" t="s">
        <v>79</v>
      </c>
      <c r="I43" s="109"/>
      <c r="J43" s="50"/>
      <c r="K43" s="39"/>
      <c r="L43" s="21"/>
      <c r="M43" s="21"/>
      <c r="N43" s="21"/>
    </row>
    <row r="44" spans="1:17" x14ac:dyDescent="0.35">
      <c r="A44" s="73" t="s">
        <v>186</v>
      </c>
      <c r="B44" s="73" t="s">
        <v>116</v>
      </c>
      <c r="C44" s="73"/>
      <c r="D44" s="91"/>
      <c r="E44" s="92"/>
      <c r="G44" s="70"/>
      <c r="H44" s="73" t="s">
        <v>239</v>
      </c>
      <c r="I44" s="109"/>
      <c r="J44" s="50"/>
      <c r="K44" s="39"/>
      <c r="L44" s="21"/>
      <c r="M44" s="21"/>
      <c r="N44" s="21"/>
    </row>
    <row r="45" spans="1:17" x14ac:dyDescent="0.35">
      <c r="A45" s="73" t="s">
        <v>185</v>
      </c>
      <c r="B45" s="73" t="s">
        <v>117</v>
      </c>
      <c r="C45" s="73"/>
      <c r="D45" s="91"/>
      <c r="E45" s="92"/>
      <c r="G45" s="70"/>
      <c r="H45" s="73" t="s">
        <v>240</v>
      </c>
      <c r="I45" s="109"/>
      <c r="J45" s="50"/>
      <c r="K45" s="39"/>
      <c r="L45" s="21"/>
      <c r="M45" s="21"/>
      <c r="N45" s="21"/>
    </row>
    <row r="46" spans="1:17" x14ac:dyDescent="0.35">
      <c r="A46" s="73" t="s">
        <v>292</v>
      </c>
      <c r="B46" s="73" t="s">
        <v>118</v>
      </c>
      <c r="C46" s="73"/>
      <c r="D46" s="91"/>
      <c r="E46" s="92"/>
      <c r="G46" s="83" t="s">
        <v>5</v>
      </c>
      <c r="H46" s="83"/>
      <c r="I46" s="110">
        <f>SUM(I7:I45)</f>
        <v>47500000</v>
      </c>
      <c r="J46" s="50"/>
      <c r="K46" s="39"/>
      <c r="L46" s="21"/>
      <c r="M46" s="21"/>
      <c r="N46" s="21"/>
    </row>
    <row r="47" spans="1:17" x14ac:dyDescent="0.35">
      <c r="A47" s="73" t="s">
        <v>184</v>
      </c>
      <c r="B47" s="73" t="s">
        <v>119</v>
      </c>
      <c r="C47" s="73"/>
      <c r="D47" s="91"/>
      <c r="E47" s="92"/>
      <c r="G47" s="147"/>
      <c r="H47" s="147"/>
      <c r="I47" s="118"/>
      <c r="J47" s="50"/>
      <c r="K47" s="39"/>
      <c r="L47" s="21"/>
      <c r="M47" s="21"/>
      <c r="N47" s="21"/>
      <c r="O47" s="21"/>
      <c r="P47" s="21"/>
      <c r="Q47" s="21"/>
    </row>
    <row r="48" spans="1:17" x14ac:dyDescent="0.35">
      <c r="A48" s="73" t="s">
        <v>183</v>
      </c>
      <c r="B48" s="73" t="s">
        <v>120</v>
      </c>
      <c r="C48" s="73"/>
      <c r="D48" s="91"/>
      <c r="E48" s="92"/>
      <c r="G48" s="147"/>
      <c r="H48" s="147"/>
      <c r="I48" s="118"/>
      <c r="J48" s="50"/>
      <c r="K48" s="39"/>
      <c r="L48" s="21"/>
      <c r="M48" s="21"/>
      <c r="N48" s="21"/>
    </row>
    <row r="49" spans="1:14" x14ac:dyDescent="0.35">
      <c r="A49" s="73" t="s">
        <v>182</v>
      </c>
      <c r="B49" s="73" t="s">
        <v>121</v>
      </c>
      <c r="C49" s="73"/>
      <c r="D49" s="91"/>
      <c r="E49" s="92"/>
      <c r="G49" s="139" t="s">
        <v>259</v>
      </c>
      <c r="H49" s="139"/>
      <c r="I49" s="111"/>
      <c r="J49" s="50"/>
      <c r="K49" s="39"/>
      <c r="L49" s="21"/>
      <c r="M49" s="50"/>
      <c r="N49" s="39"/>
    </row>
    <row r="50" spans="1:14" x14ac:dyDescent="0.35">
      <c r="A50" s="73" t="s">
        <v>181</v>
      </c>
      <c r="B50" s="73" t="s">
        <v>122</v>
      </c>
      <c r="C50" s="73"/>
      <c r="D50" s="91"/>
      <c r="E50" s="92"/>
      <c r="G50" s="138" t="s">
        <v>262</v>
      </c>
      <c r="H50" s="139"/>
      <c r="I50" s="140"/>
      <c r="J50" s="78"/>
      <c r="K50" s="138"/>
      <c r="L50" s="138"/>
      <c r="M50" s="78"/>
      <c r="N50" s="138"/>
    </row>
    <row r="51" spans="1:14" x14ac:dyDescent="0.35">
      <c r="A51" s="73" t="s">
        <v>180</v>
      </c>
      <c r="B51" s="73" t="s">
        <v>123</v>
      </c>
      <c r="C51" s="73"/>
      <c r="D51" s="91"/>
      <c r="E51" s="92"/>
      <c r="G51" s="141" t="s">
        <v>15</v>
      </c>
      <c r="H51" s="141" t="s">
        <v>133</v>
      </c>
      <c r="I51" s="142" t="s">
        <v>136</v>
      </c>
      <c r="J51" s="141" t="s">
        <v>138</v>
      </c>
      <c r="K51" s="141" t="s">
        <v>139</v>
      </c>
      <c r="L51" s="83" t="s">
        <v>140</v>
      </c>
      <c r="M51" s="83"/>
      <c r="N51" s="83"/>
    </row>
    <row r="52" spans="1:14" x14ac:dyDescent="0.35">
      <c r="A52" s="73" t="s">
        <v>179</v>
      </c>
      <c r="B52" s="73" t="s">
        <v>124</v>
      </c>
      <c r="C52" s="73"/>
      <c r="D52" s="91"/>
      <c r="E52" s="92"/>
      <c r="G52" s="141"/>
      <c r="H52" s="141"/>
      <c r="I52" s="142"/>
      <c r="J52" s="141"/>
      <c r="K52" s="141"/>
      <c r="L52" s="143" t="s">
        <v>16</v>
      </c>
      <c r="M52" s="143" t="s">
        <v>141</v>
      </c>
      <c r="N52" s="143" t="s">
        <v>50</v>
      </c>
    </row>
    <row r="53" spans="1:14" x14ac:dyDescent="0.35">
      <c r="A53" s="73" t="s">
        <v>178</v>
      </c>
      <c r="B53" s="73" t="s">
        <v>264</v>
      </c>
      <c r="C53" s="73"/>
      <c r="D53" s="91"/>
      <c r="E53" s="92"/>
      <c r="G53" s="136" t="s">
        <v>216</v>
      </c>
      <c r="H53" s="136"/>
      <c r="I53" s="112"/>
      <c r="J53" s="68"/>
      <c r="K53" s="68"/>
      <c r="L53" s="69"/>
      <c r="M53" s="69"/>
      <c r="N53" s="69"/>
    </row>
    <row r="54" spans="1:14" x14ac:dyDescent="0.35">
      <c r="A54" s="73" t="s">
        <v>177</v>
      </c>
      <c r="B54" s="73" t="s">
        <v>125</v>
      </c>
      <c r="C54" s="73"/>
      <c r="D54" s="91"/>
      <c r="E54" s="92"/>
      <c r="G54" s="70" t="s">
        <v>130</v>
      </c>
      <c r="H54" s="71" t="s">
        <v>134</v>
      </c>
      <c r="I54" s="108" t="s">
        <v>137</v>
      </c>
      <c r="J54" s="72">
        <v>1200000</v>
      </c>
      <c r="K54" s="72">
        <v>1500000</v>
      </c>
      <c r="L54" s="73">
        <v>15</v>
      </c>
      <c r="M54" s="72">
        <v>1200000</v>
      </c>
      <c r="N54" s="74">
        <f>M54*L54</f>
        <v>18000000</v>
      </c>
    </row>
    <row r="55" spans="1:14" x14ac:dyDescent="0.35">
      <c r="A55" s="73" t="s">
        <v>176</v>
      </c>
      <c r="B55" s="73" t="s">
        <v>126</v>
      </c>
      <c r="C55" s="73"/>
      <c r="D55" s="91"/>
      <c r="E55" s="92"/>
      <c r="G55" s="70" t="s">
        <v>131</v>
      </c>
      <c r="H55" s="71" t="s">
        <v>135</v>
      </c>
      <c r="I55" s="108" t="s">
        <v>137</v>
      </c>
      <c r="J55" s="72">
        <v>325000</v>
      </c>
      <c r="K55" s="72">
        <v>325000</v>
      </c>
      <c r="L55" s="73">
        <v>50</v>
      </c>
      <c r="M55" s="72">
        <v>325000</v>
      </c>
      <c r="N55" s="74">
        <f>M55*L55</f>
        <v>16250000</v>
      </c>
    </row>
    <row r="56" spans="1:14" x14ac:dyDescent="0.35">
      <c r="A56" s="73" t="s">
        <v>175</v>
      </c>
      <c r="B56" s="73" t="s">
        <v>127</v>
      </c>
      <c r="C56" s="73"/>
      <c r="D56" s="91"/>
      <c r="E56" s="92"/>
      <c r="G56" s="70" t="s">
        <v>132</v>
      </c>
      <c r="H56" s="71" t="s">
        <v>142</v>
      </c>
      <c r="I56" s="108" t="s">
        <v>137</v>
      </c>
      <c r="J56" s="72">
        <v>1400000</v>
      </c>
      <c r="K56" s="72">
        <v>1750000</v>
      </c>
      <c r="L56" s="73">
        <v>20</v>
      </c>
      <c r="M56" s="72">
        <v>1400000</v>
      </c>
      <c r="N56" s="74">
        <f>M56*L56</f>
        <v>28000000</v>
      </c>
    </row>
    <row r="57" spans="1:14" x14ac:dyDescent="0.35">
      <c r="A57" s="73" t="s">
        <v>174</v>
      </c>
      <c r="B57" s="73" t="s">
        <v>215</v>
      </c>
      <c r="C57" s="73"/>
      <c r="D57" s="91"/>
      <c r="E57" s="92"/>
      <c r="G57" s="70" t="s">
        <v>144</v>
      </c>
      <c r="H57" s="71" t="s">
        <v>143</v>
      </c>
      <c r="I57" s="108" t="s">
        <v>137</v>
      </c>
      <c r="J57" s="72">
        <v>1200000</v>
      </c>
      <c r="K57" s="72">
        <v>1500000</v>
      </c>
      <c r="L57" s="73">
        <v>15</v>
      </c>
      <c r="M57" s="72">
        <v>1200000</v>
      </c>
      <c r="N57" s="74">
        <f>M57*L57</f>
        <v>18000000</v>
      </c>
    </row>
    <row r="58" spans="1:14" x14ac:dyDescent="0.35">
      <c r="A58" s="73" t="s">
        <v>173</v>
      </c>
      <c r="B58" s="73" t="s">
        <v>128</v>
      </c>
      <c r="C58" s="73"/>
      <c r="D58" s="91"/>
      <c r="E58" s="92"/>
      <c r="G58" s="137" t="s">
        <v>217</v>
      </c>
      <c r="H58" s="137"/>
      <c r="I58" s="108"/>
      <c r="J58" s="72"/>
      <c r="K58" s="72"/>
      <c r="L58" s="73"/>
      <c r="M58" s="72"/>
      <c r="N58" s="74"/>
    </row>
    <row r="59" spans="1:14" x14ac:dyDescent="0.35">
      <c r="A59" s="73" t="s">
        <v>172</v>
      </c>
      <c r="B59" s="73" t="s">
        <v>129</v>
      </c>
      <c r="C59" s="73"/>
      <c r="D59" s="91"/>
      <c r="E59" s="92"/>
      <c r="G59" s="70" t="s">
        <v>145</v>
      </c>
      <c r="H59" s="71" t="s">
        <v>151</v>
      </c>
      <c r="I59" s="108" t="s">
        <v>137</v>
      </c>
      <c r="J59" s="72">
        <v>2850000</v>
      </c>
      <c r="K59" s="72">
        <v>3375000</v>
      </c>
      <c r="L59" s="73">
        <v>8</v>
      </c>
      <c r="M59" s="72">
        <v>2850000</v>
      </c>
      <c r="N59" s="74">
        <f>M59*L59</f>
        <v>22800000</v>
      </c>
    </row>
    <row r="60" spans="1:14" x14ac:dyDescent="0.35">
      <c r="A60" s="95" t="s">
        <v>5</v>
      </c>
      <c r="B60" s="95"/>
      <c r="C60" s="96"/>
      <c r="D60" s="97">
        <f>SUM(D4:D59)</f>
        <v>357130000</v>
      </c>
      <c r="E60" s="98">
        <f>SUM(E4:E59)</f>
        <v>357130000</v>
      </c>
      <c r="G60" s="70" t="s">
        <v>146</v>
      </c>
      <c r="H60" s="71" t="s">
        <v>152</v>
      </c>
      <c r="I60" s="108" t="s">
        <v>137</v>
      </c>
      <c r="J60" s="72">
        <v>590000</v>
      </c>
      <c r="K60" s="72">
        <v>750000</v>
      </c>
      <c r="L60" s="73">
        <v>12</v>
      </c>
      <c r="M60" s="72">
        <v>590000</v>
      </c>
      <c r="N60" s="74">
        <f>M60*L60</f>
        <v>7080000</v>
      </c>
    </row>
    <row r="61" spans="1:14" x14ac:dyDescent="0.35">
      <c r="A61" s="1"/>
      <c r="G61" s="137" t="s">
        <v>218</v>
      </c>
      <c r="H61" s="137"/>
      <c r="I61" s="108"/>
      <c r="J61" s="72"/>
      <c r="K61" s="72"/>
      <c r="L61" s="73"/>
      <c r="M61" s="72"/>
      <c r="N61" s="74"/>
    </row>
    <row r="62" spans="1:14" x14ac:dyDescent="0.35">
      <c r="A62" s="1"/>
      <c r="G62" s="70" t="s">
        <v>147</v>
      </c>
      <c r="H62" s="71" t="s">
        <v>153</v>
      </c>
      <c r="I62" s="108" t="s">
        <v>137</v>
      </c>
      <c r="J62" s="72">
        <v>1300000</v>
      </c>
      <c r="K62" s="72">
        <v>1650000</v>
      </c>
      <c r="L62" s="73">
        <v>15</v>
      </c>
      <c r="M62" s="72">
        <v>1300000</v>
      </c>
      <c r="N62" s="74">
        <f>M62*L62</f>
        <v>19500000</v>
      </c>
    </row>
    <row r="63" spans="1:14" x14ac:dyDescent="0.35">
      <c r="G63" s="70" t="s">
        <v>148</v>
      </c>
      <c r="H63" s="71" t="s">
        <v>155</v>
      </c>
      <c r="I63" s="108" t="s">
        <v>137</v>
      </c>
      <c r="J63" s="72">
        <v>1750000</v>
      </c>
      <c r="K63" s="72">
        <v>2100000</v>
      </c>
      <c r="L63" s="73">
        <v>12</v>
      </c>
      <c r="M63" s="72">
        <v>1750000</v>
      </c>
      <c r="N63" s="74">
        <f>M63*L63</f>
        <v>21000000</v>
      </c>
    </row>
    <row r="64" spans="1:14" x14ac:dyDescent="0.35">
      <c r="G64" s="70" t="s">
        <v>149</v>
      </c>
      <c r="H64" s="71" t="s">
        <v>154</v>
      </c>
      <c r="I64" s="108" t="s">
        <v>137</v>
      </c>
      <c r="J64" s="72">
        <v>1050000</v>
      </c>
      <c r="K64" s="72">
        <v>1450000</v>
      </c>
      <c r="L64" s="73">
        <v>15</v>
      </c>
      <c r="M64" s="72">
        <v>1050000</v>
      </c>
      <c r="N64" s="74">
        <f>M64*L64</f>
        <v>15750000</v>
      </c>
    </row>
    <row r="65" spans="7:14" x14ac:dyDescent="0.35">
      <c r="G65" s="83" t="s">
        <v>17</v>
      </c>
      <c r="H65" s="83"/>
      <c r="I65" s="113"/>
      <c r="J65" s="100"/>
      <c r="K65" s="84"/>
      <c r="L65" s="101" t="s">
        <v>150</v>
      </c>
      <c r="M65" s="101"/>
      <c r="N65" s="74">
        <f>SUM(N54:N64)</f>
        <v>166380000</v>
      </c>
    </row>
    <row r="66" spans="7:14" x14ac:dyDescent="0.35">
      <c r="G66" s="147"/>
      <c r="H66" s="147"/>
      <c r="I66" s="148"/>
      <c r="J66" s="78"/>
    </row>
    <row r="67" spans="7:14" x14ac:dyDescent="0.35">
      <c r="G67" s="147"/>
      <c r="H67" s="147" t="s">
        <v>259</v>
      </c>
      <c r="I67" s="148"/>
      <c r="J67" s="78"/>
    </row>
    <row r="68" spans="7:14" x14ac:dyDescent="0.35">
      <c r="H68" s="45" t="s">
        <v>160</v>
      </c>
    </row>
    <row r="69" spans="7:14" x14ac:dyDescent="0.35">
      <c r="G69" s="39"/>
      <c r="H69" s="45" t="s">
        <v>263</v>
      </c>
      <c r="I69" s="107"/>
      <c r="J69" s="37"/>
    </row>
    <row r="70" spans="7:14" x14ac:dyDescent="0.35">
      <c r="G70" s="115" t="s">
        <v>11</v>
      </c>
      <c r="H70" s="115" t="s">
        <v>12</v>
      </c>
      <c r="I70" s="117" t="s">
        <v>258</v>
      </c>
      <c r="J70" s="38"/>
    </row>
    <row r="71" spans="7:14" x14ac:dyDescent="0.35">
      <c r="G71" s="122" t="s">
        <v>156</v>
      </c>
      <c r="H71" s="104" t="s">
        <v>241</v>
      </c>
      <c r="I71" s="127"/>
      <c r="J71" s="50"/>
    </row>
    <row r="72" spans="7:14" x14ac:dyDescent="0.35">
      <c r="G72" s="123"/>
      <c r="H72" s="41" t="s">
        <v>242</v>
      </c>
      <c r="I72" s="128"/>
      <c r="J72" s="50"/>
    </row>
    <row r="73" spans="7:14" x14ac:dyDescent="0.35">
      <c r="G73" s="123"/>
      <c r="H73" s="41" t="s">
        <v>243</v>
      </c>
      <c r="I73" s="128"/>
      <c r="J73" s="50"/>
    </row>
    <row r="74" spans="7:14" x14ac:dyDescent="0.35">
      <c r="G74" s="123"/>
      <c r="H74" s="41" t="s">
        <v>244</v>
      </c>
      <c r="I74" s="128"/>
      <c r="J74" s="78"/>
    </row>
    <row r="75" spans="7:14" x14ac:dyDescent="0.35">
      <c r="G75" s="123"/>
      <c r="H75" s="41" t="s">
        <v>245</v>
      </c>
      <c r="I75" s="128"/>
    </row>
    <row r="76" spans="7:14" x14ac:dyDescent="0.35">
      <c r="G76" s="123"/>
      <c r="H76" s="41" t="s">
        <v>246</v>
      </c>
      <c r="I76" s="128"/>
    </row>
    <row r="77" spans="7:14" x14ac:dyDescent="0.35">
      <c r="G77" s="123"/>
      <c r="H77" s="79" t="s">
        <v>247</v>
      </c>
      <c r="I77" s="128"/>
    </row>
    <row r="78" spans="7:14" x14ac:dyDescent="0.35">
      <c r="G78" s="123"/>
      <c r="H78" s="80" t="s">
        <v>248</v>
      </c>
      <c r="I78" s="128">
        <v>24000000</v>
      </c>
    </row>
    <row r="79" spans="7:14" x14ac:dyDescent="0.35">
      <c r="G79" s="116"/>
      <c r="H79" s="120"/>
      <c r="I79" s="129"/>
    </row>
    <row r="80" spans="7:14" x14ac:dyDescent="0.35">
      <c r="G80" s="124" t="s">
        <v>157</v>
      </c>
      <c r="H80" s="103" t="s">
        <v>249</v>
      </c>
      <c r="I80" s="128"/>
    </row>
    <row r="81" spans="7:9" x14ac:dyDescent="0.35">
      <c r="G81" s="123"/>
      <c r="H81" s="105" t="s">
        <v>250</v>
      </c>
      <c r="I81" s="128"/>
    </row>
    <row r="82" spans="7:9" x14ac:dyDescent="0.35">
      <c r="G82" s="123"/>
      <c r="H82" s="41" t="s">
        <v>251</v>
      </c>
      <c r="I82" s="128"/>
    </row>
    <row r="83" spans="7:9" x14ac:dyDescent="0.35">
      <c r="G83" s="123"/>
      <c r="H83" s="41" t="s">
        <v>252</v>
      </c>
      <c r="I83" s="128"/>
    </row>
    <row r="84" spans="7:9" x14ac:dyDescent="0.35">
      <c r="G84" s="123"/>
      <c r="H84" s="41" t="s">
        <v>222</v>
      </c>
      <c r="I84" s="128"/>
    </row>
    <row r="85" spans="7:9" x14ac:dyDescent="0.35">
      <c r="G85" s="123"/>
      <c r="H85" s="41" t="s">
        <v>246</v>
      </c>
      <c r="I85" s="128"/>
    </row>
    <row r="86" spans="7:9" x14ac:dyDescent="0.35">
      <c r="G86" s="123"/>
      <c r="H86" s="79" t="s">
        <v>247</v>
      </c>
      <c r="I86" s="128"/>
    </row>
    <row r="87" spans="7:9" x14ac:dyDescent="0.35">
      <c r="G87" s="123"/>
      <c r="H87" s="80" t="s">
        <v>253</v>
      </c>
      <c r="I87" s="128">
        <v>16000000</v>
      </c>
    </row>
    <row r="88" spans="7:9" x14ac:dyDescent="0.35">
      <c r="G88" s="125"/>
      <c r="H88" s="38"/>
      <c r="I88" s="128"/>
    </row>
    <row r="89" spans="7:9" x14ac:dyDescent="0.35">
      <c r="G89" s="122" t="s">
        <v>158</v>
      </c>
      <c r="H89" s="104" t="s">
        <v>159</v>
      </c>
      <c r="I89" s="130"/>
    </row>
    <row r="90" spans="7:9" x14ac:dyDescent="0.35">
      <c r="G90" s="123"/>
      <c r="H90" s="41" t="s">
        <v>254</v>
      </c>
      <c r="I90" s="131"/>
    </row>
    <row r="91" spans="7:9" x14ac:dyDescent="0.35">
      <c r="G91" s="123"/>
      <c r="H91" s="41" t="s">
        <v>255</v>
      </c>
      <c r="I91" s="131"/>
    </row>
    <row r="92" spans="7:9" x14ac:dyDescent="0.35">
      <c r="G92" s="123"/>
      <c r="H92" s="41" t="s">
        <v>256</v>
      </c>
      <c r="I92" s="132"/>
    </row>
    <row r="93" spans="7:9" x14ac:dyDescent="0.35">
      <c r="G93" s="123"/>
      <c r="H93" s="41" t="s">
        <v>245</v>
      </c>
      <c r="I93" s="133"/>
    </row>
    <row r="94" spans="7:9" x14ac:dyDescent="0.35">
      <c r="G94" s="123"/>
      <c r="H94" s="41" t="s">
        <v>246</v>
      </c>
      <c r="I94" s="133"/>
    </row>
    <row r="95" spans="7:9" x14ac:dyDescent="0.35">
      <c r="G95" s="123"/>
      <c r="H95" s="79" t="s">
        <v>247</v>
      </c>
      <c r="I95" s="133"/>
    </row>
    <row r="96" spans="7:9" x14ac:dyDescent="0.35">
      <c r="G96" s="123"/>
      <c r="H96" s="80" t="s">
        <v>257</v>
      </c>
      <c r="I96" s="133">
        <v>35000000</v>
      </c>
    </row>
    <row r="97" spans="7:9" x14ac:dyDescent="0.35">
      <c r="G97" s="126"/>
      <c r="H97" s="121"/>
      <c r="I97" s="134"/>
    </row>
    <row r="98" spans="7:9" x14ac:dyDescent="0.35">
      <c r="G98" s="126"/>
      <c r="H98" s="102"/>
      <c r="I98" s="135">
        <f>SUM(I78:I96)</f>
        <v>75000000</v>
      </c>
    </row>
  </sheetData>
  <mergeCells count="13">
    <mergeCell ref="H51:H52"/>
    <mergeCell ref="I51:I52"/>
    <mergeCell ref="L51:N51"/>
    <mergeCell ref="A1:E2"/>
    <mergeCell ref="G65:H65"/>
    <mergeCell ref="G46:H46"/>
    <mergeCell ref="A60:B60"/>
    <mergeCell ref="J51:J52"/>
    <mergeCell ref="K51:K52"/>
    <mergeCell ref="G53:H53"/>
    <mergeCell ref="G58:H58"/>
    <mergeCell ref="G61:H61"/>
    <mergeCell ref="G51:G5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zoomScale="88" zoomScaleNormal="88" workbookViewId="0">
      <selection activeCell="F35" sqref="F35"/>
    </sheetView>
  </sheetViews>
  <sheetFormatPr defaultColWidth="21" defaultRowHeight="14.5" x14ac:dyDescent="0.35"/>
  <cols>
    <col min="1" max="1" width="9.54296875" style="49" bestFit="1" customWidth="1"/>
    <col min="2" max="2" width="9.453125" bestFit="1" customWidth="1"/>
    <col min="3" max="3" width="11.90625" style="24" customWidth="1"/>
    <col min="4" max="4" width="32.6328125" customWidth="1"/>
    <col min="5" max="5" width="6.36328125" customWidth="1"/>
    <col min="6" max="6" width="13.54296875" style="2" customWidth="1"/>
    <col min="7" max="7" width="14.54296875" style="2" customWidth="1"/>
    <col min="8" max="8" width="12.1796875" style="223" customWidth="1"/>
    <col min="9" max="9" width="10" bestFit="1" customWidth="1"/>
    <col min="10" max="10" width="15.54296875" style="2" customWidth="1"/>
    <col min="11" max="11" width="17.54296875" style="2" customWidth="1"/>
    <col min="12" max="12" width="10" bestFit="1" customWidth="1"/>
    <col min="13" max="13" width="14.90625" style="2" customWidth="1"/>
    <col min="14" max="14" width="14.81640625" style="2" customWidth="1"/>
  </cols>
  <sheetData>
    <row r="1" spans="1:14" s="32" customFormat="1" x14ac:dyDescent="0.35">
      <c r="A1" s="58" t="s">
        <v>69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32" customFormat="1" ht="15" thickBot="1" x14ac:dyDescent="0.4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s="32" customFormat="1" ht="15" thickBot="1" x14ac:dyDescent="0.4">
      <c r="A3" s="169" t="s">
        <v>6</v>
      </c>
      <c r="B3" s="56" t="s">
        <v>19</v>
      </c>
      <c r="C3" s="163" t="s">
        <v>20</v>
      </c>
      <c r="D3" s="56" t="s">
        <v>21</v>
      </c>
      <c r="E3" s="56" t="s">
        <v>8</v>
      </c>
      <c r="F3" s="62" t="s">
        <v>9</v>
      </c>
      <c r="G3" s="62" t="s">
        <v>10</v>
      </c>
      <c r="H3" s="211" t="s">
        <v>22</v>
      </c>
      <c r="I3" s="59" t="s">
        <v>24</v>
      </c>
      <c r="J3" s="60"/>
      <c r="K3" s="61"/>
      <c r="L3" s="59" t="s">
        <v>27</v>
      </c>
      <c r="M3" s="60"/>
      <c r="N3" s="61"/>
    </row>
    <row r="4" spans="1:14" s="32" customFormat="1" ht="15" thickBot="1" x14ac:dyDescent="0.4">
      <c r="A4" s="170"/>
      <c r="B4" s="57"/>
      <c r="C4" s="164"/>
      <c r="D4" s="57"/>
      <c r="E4" s="57"/>
      <c r="F4" s="63"/>
      <c r="G4" s="63"/>
      <c r="H4" s="212" t="s">
        <v>23</v>
      </c>
      <c r="I4" s="33" t="s">
        <v>25</v>
      </c>
      <c r="J4" s="34" t="s">
        <v>26</v>
      </c>
      <c r="K4" s="34" t="s">
        <v>5</v>
      </c>
      <c r="L4" s="33" t="s">
        <v>25</v>
      </c>
      <c r="M4" s="34" t="s">
        <v>26</v>
      </c>
      <c r="N4" s="35" t="s">
        <v>5</v>
      </c>
    </row>
    <row r="5" spans="1:14" x14ac:dyDescent="0.35">
      <c r="A5" s="171" t="s">
        <v>189</v>
      </c>
      <c r="B5" s="13"/>
      <c r="C5" s="43" t="s">
        <v>265</v>
      </c>
      <c r="D5" s="13" t="str">
        <f>VLOOKUP(A5,'MASTER AKUN'!$A$4:$B$59,2,FALSE)</f>
        <v>Uang Muka Pembelian</v>
      </c>
      <c r="E5" s="13"/>
      <c r="F5" s="150">
        <v>6000000</v>
      </c>
      <c r="G5" s="16"/>
      <c r="H5" s="213"/>
      <c r="I5" s="13"/>
      <c r="J5" s="16"/>
      <c r="K5" s="16"/>
      <c r="L5" s="13"/>
      <c r="M5" s="16"/>
      <c r="N5" s="20"/>
    </row>
    <row r="6" spans="1:14" ht="15" thickBot="1" x14ac:dyDescent="0.4">
      <c r="A6" s="171" t="s">
        <v>164</v>
      </c>
      <c r="B6" s="5"/>
      <c r="C6" s="42"/>
      <c r="D6" s="5" t="str">
        <f>VLOOKUP(A6,'MASTER AKUN'!A4:E59,2,)</f>
        <v>Bank BCA</v>
      </c>
      <c r="E6" s="5"/>
      <c r="F6" s="151"/>
      <c r="G6" s="17">
        <v>6000000</v>
      </c>
      <c r="H6" s="214"/>
      <c r="I6" s="7"/>
      <c r="J6" s="17"/>
      <c r="K6" s="17"/>
      <c r="L6" s="5"/>
      <c r="M6" s="17"/>
      <c r="N6" s="4"/>
    </row>
    <row r="7" spans="1:14" x14ac:dyDescent="0.35">
      <c r="A7" s="162" t="s">
        <v>199</v>
      </c>
      <c r="B7" s="13"/>
      <c r="C7" s="43" t="s">
        <v>266</v>
      </c>
      <c r="D7" s="13" t="str">
        <f>VLOOKUP(A7,'MASTER AKUN'!A3:E58,2,)</f>
        <v>Hutang Usaha</v>
      </c>
      <c r="E7" s="13" t="s">
        <v>156</v>
      </c>
      <c r="F7" s="150">
        <v>24000000</v>
      </c>
      <c r="G7" s="16"/>
      <c r="H7" s="213"/>
      <c r="I7" s="14"/>
      <c r="J7" s="16"/>
      <c r="K7" s="16"/>
      <c r="L7" s="13"/>
      <c r="M7" s="16"/>
      <c r="N7" s="20"/>
    </row>
    <row r="8" spans="1:14" ht="15" thickBot="1" x14ac:dyDescent="0.4">
      <c r="A8" s="172" t="s">
        <v>189</v>
      </c>
      <c r="B8" s="6"/>
      <c r="C8" s="44"/>
      <c r="D8" s="6" t="str">
        <f>VLOOKUP(A8,'MASTER AKUN'!A4:E59,2,)</f>
        <v>Uang Muka Pembelian</v>
      </c>
      <c r="E8" s="6"/>
      <c r="F8" s="149"/>
      <c r="G8" s="18">
        <v>24000000</v>
      </c>
      <c r="H8" s="215"/>
      <c r="I8" s="15"/>
      <c r="J8" s="18"/>
      <c r="K8" s="18"/>
      <c r="L8" s="6"/>
      <c r="M8" s="18"/>
      <c r="N8" s="19"/>
    </row>
    <row r="9" spans="1:14" x14ac:dyDescent="0.35">
      <c r="A9" s="173" t="s">
        <v>162</v>
      </c>
      <c r="B9" s="13"/>
      <c r="C9" s="152" t="s">
        <v>267</v>
      </c>
      <c r="D9" s="13" t="str">
        <f>VLOOKUP(A9,'MASTER AKUN'!A5:E60,2,)</f>
        <v>Kas Di Tangan</v>
      </c>
      <c r="E9" s="41"/>
      <c r="F9" s="16">
        <f>SUM(G10:G11)</f>
        <v>24956250</v>
      </c>
      <c r="G9" s="16"/>
      <c r="H9" s="216"/>
      <c r="I9" s="14"/>
      <c r="J9" s="53"/>
      <c r="K9" s="16"/>
      <c r="L9" s="41"/>
      <c r="M9" s="16"/>
      <c r="N9" s="16"/>
    </row>
    <row r="10" spans="1:14" x14ac:dyDescent="0.35">
      <c r="A10" s="174" t="s">
        <v>1</v>
      </c>
      <c r="B10" s="5"/>
      <c r="C10" s="152"/>
      <c r="D10" s="5" t="str">
        <f>VLOOKUP(A10,'MASTER AKUN'!A6:E61,2,)</f>
        <v xml:space="preserve">Penjualan </v>
      </c>
      <c r="E10" s="41"/>
      <c r="F10" s="17"/>
      <c r="G10" s="17">
        <v>22687500</v>
      </c>
      <c r="H10" s="216"/>
      <c r="I10" s="7"/>
      <c r="J10" s="53"/>
      <c r="K10" s="17"/>
      <c r="L10" s="41"/>
      <c r="M10" s="17"/>
      <c r="N10" s="17"/>
    </row>
    <row r="11" spans="1:14" x14ac:dyDescent="0.35">
      <c r="A11" s="174" t="s">
        <v>205</v>
      </c>
      <c r="B11" s="5"/>
      <c r="C11" s="152"/>
      <c r="D11" s="5" t="str">
        <f>VLOOKUP(A11,'MASTER AKUN'!A7:E62,2,)</f>
        <v>PPN Keluaran</v>
      </c>
      <c r="E11" s="41"/>
      <c r="F11" s="17"/>
      <c r="G11" s="17">
        <v>2268750</v>
      </c>
      <c r="H11" s="216"/>
      <c r="I11" s="7"/>
      <c r="J11" s="53"/>
      <c r="K11" s="17"/>
      <c r="L11" s="48"/>
      <c r="M11" s="17"/>
      <c r="N11" s="17"/>
    </row>
    <row r="12" spans="1:14" x14ac:dyDescent="0.35">
      <c r="A12" s="173" t="s">
        <v>3</v>
      </c>
      <c r="B12" s="5"/>
      <c r="C12" s="152"/>
      <c r="D12" s="5" t="str">
        <f>VLOOKUP(A12,'MASTER AKUN'!A8:E63,2,)</f>
        <v>Harga Pokok Penjualan</v>
      </c>
      <c r="E12" s="41"/>
      <c r="F12" s="17">
        <f>SUM(G13:G14)</f>
        <v>19350000</v>
      </c>
      <c r="G12" s="17"/>
      <c r="H12" s="216"/>
      <c r="I12" s="7"/>
      <c r="J12" s="53"/>
      <c r="K12" s="17"/>
      <c r="L12" s="48"/>
      <c r="M12" s="17"/>
      <c r="N12" s="17"/>
    </row>
    <row r="13" spans="1:14" x14ac:dyDescent="0.35">
      <c r="A13" s="173" t="s">
        <v>171</v>
      </c>
      <c r="B13" s="5"/>
      <c r="C13" s="152"/>
      <c r="D13" s="5" t="str">
        <f>VLOOKUP(A13,'MASTER AKUN'!A9:E64,2,)</f>
        <v>Persediaan Barang Dagangan</v>
      </c>
      <c r="E13" s="41"/>
      <c r="F13" s="17"/>
      <c r="G13" s="17">
        <v>9600000</v>
      </c>
      <c r="H13" s="216" t="s">
        <v>130</v>
      </c>
      <c r="I13" s="7">
        <v>8</v>
      </c>
      <c r="J13" s="53">
        <v>1200000</v>
      </c>
      <c r="K13" s="17">
        <f>J13*I13</f>
        <v>9600000</v>
      </c>
      <c r="L13" s="48"/>
      <c r="M13" s="17"/>
      <c r="N13" s="17"/>
    </row>
    <row r="14" spans="1:14" ht="15" thickBot="1" x14ac:dyDescent="0.4">
      <c r="A14" s="173" t="s">
        <v>171</v>
      </c>
      <c r="B14" s="5"/>
      <c r="C14" s="152"/>
      <c r="D14" s="5" t="str">
        <f>VLOOKUP(A14,'MASTER AKUN'!A10:E65,2,)</f>
        <v>Persediaan Barang Dagangan</v>
      </c>
      <c r="E14" s="41"/>
      <c r="F14" s="17"/>
      <c r="G14" s="17">
        <v>9750000</v>
      </c>
      <c r="H14" s="216" t="s">
        <v>131</v>
      </c>
      <c r="I14" s="7">
        <v>30</v>
      </c>
      <c r="J14" s="53">
        <v>325000</v>
      </c>
      <c r="K14" s="17">
        <f>J14*I14</f>
        <v>9750000</v>
      </c>
      <c r="L14" s="48"/>
      <c r="M14" s="17"/>
      <c r="N14" s="17"/>
    </row>
    <row r="15" spans="1:14" x14ac:dyDescent="0.35">
      <c r="A15" s="162" t="s">
        <v>165</v>
      </c>
      <c r="B15" s="9"/>
      <c r="C15" s="165" t="s">
        <v>268</v>
      </c>
      <c r="D15" s="13" t="str">
        <f>VLOOKUP(A15,'MASTER AKUN'!A4:E59,2,)</f>
        <v>Bank Mandiri</v>
      </c>
      <c r="E15" s="9"/>
      <c r="F15" s="16">
        <v>14550000</v>
      </c>
      <c r="G15" s="16"/>
      <c r="H15" s="217"/>
      <c r="I15" s="14"/>
      <c r="J15" s="16"/>
      <c r="K15" s="16"/>
      <c r="L15" s="13"/>
      <c r="M15" s="16"/>
      <c r="N15" s="20"/>
    </row>
    <row r="16" spans="1:14" x14ac:dyDescent="0.35">
      <c r="A16" s="180" t="s">
        <v>212</v>
      </c>
      <c r="B16" s="10"/>
      <c r="C16" s="153"/>
      <c r="D16" s="5" t="str">
        <f>VLOOKUP(A16,'MASTER AKUN'!A5:E60,2,)</f>
        <v>Potongan Penjualan</v>
      </c>
      <c r="E16" s="10"/>
      <c r="F16" s="17">
        <v>450000</v>
      </c>
      <c r="G16" s="17"/>
      <c r="H16" s="218"/>
      <c r="I16" s="7"/>
      <c r="J16" s="17"/>
      <c r="K16" s="17"/>
      <c r="L16" s="5"/>
      <c r="M16" s="17"/>
      <c r="N16" s="4"/>
    </row>
    <row r="17" spans="1:14" ht="15" thickBot="1" x14ac:dyDescent="0.4">
      <c r="A17" s="172" t="s">
        <v>167</v>
      </c>
      <c r="B17" s="12"/>
      <c r="C17" s="166"/>
      <c r="D17" s="5" t="str">
        <f>VLOOKUP(A17,'MASTER AKUN'!A4:E59,2,0)</f>
        <v>Piutang Usaha</v>
      </c>
      <c r="E17" s="12" t="s">
        <v>76</v>
      </c>
      <c r="F17" s="18"/>
      <c r="G17" s="18">
        <f>SUM(F15:F16)</f>
        <v>15000000</v>
      </c>
      <c r="H17" s="219"/>
      <c r="I17" s="15"/>
      <c r="J17" s="18"/>
      <c r="K17" s="18"/>
      <c r="L17" s="6"/>
      <c r="M17" s="18"/>
      <c r="N17" s="19"/>
    </row>
    <row r="18" spans="1:14" x14ac:dyDescent="0.35">
      <c r="A18" s="175" t="s">
        <v>171</v>
      </c>
      <c r="B18" s="13"/>
      <c r="C18" s="165" t="s">
        <v>269</v>
      </c>
      <c r="D18" s="13" t="str">
        <f>VLOOKUP(A18,'MASTER AKUN'!A4:E59,2,)</f>
        <v>Persediaan Barang Dagangan</v>
      </c>
      <c r="E18" s="9"/>
      <c r="F18" s="16">
        <f>K18</f>
        <v>12000000</v>
      </c>
      <c r="G18" s="16"/>
      <c r="H18" s="217" t="s">
        <v>130</v>
      </c>
      <c r="I18" s="14">
        <v>10</v>
      </c>
      <c r="J18" s="16">
        <v>1200000</v>
      </c>
      <c r="K18" s="16">
        <f>J18*I18</f>
        <v>12000000</v>
      </c>
      <c r="L18" s="13"/>
      <c r="M18" s="16"/>
      <c r="N18" s="20"/>
    </row>
    <row r="19" spans="1:14" x14ac:dyDescent="0.35">
      <c r="A19" s="175" t="s">
        <v>171</v>
      </c>
      <c r="B19" s="5"/>
      <c r="C19" s="153"/>
      <c r="D19" s="5" t="str">
        <f>VLOOKUP(A19,'MASTER AKUN'!A5:E60,2,)</f>
        <v>Persediaan Barang Dagangan</v>
      </c>
      <c r="E19" s="10"/>
      <c r="F19" s="17">
        <f>K19</f>
        <v>9750000</v>
      </c>
      <c r="G19" s="17"/>
      <c r="H19" s="218" t="s">
        <v>131</v>
      </c>
      <c r="I19" s="7">
        <v>30</v>
      </c>
      <c r="J19" s="17">
        <v>325000</v>
      </c>
      <c r="K19" s="17">
        <f>J19*I19</f>
        <v>9750000</v>
      </c>
      <c r="L19" s="5"/>
      <c r="M19" s="17"/>
      <c r="N19" s="4"/>
    </row>
    <row r="20" spans="1:14" x14ac:dyDescent="0.35">
      <c r="A20" s="175" t="s">
        <v>188</v>
      </c>
      <c r="B20" s="5"/>
      <c r="C20" s="153"/>
      <c r="D20" s="5" t="str">
        <f>VLOOKUP(A20,'MASTER AKUN'!A6:E61,2,)</f>
        <v>PPN Masukan</v>
      </c>
      <c r="E20" s="10"/>
      <c r="F20" s="17">
        <v>2175000</v>
      </c>
      <c r="G20" s="17"/>
      <c r="H20" s="218"/>
      <c r="I20" s="7"/>
      <c r="J20" s="17"/>
      <c r="K20" s="17"/>
      <c r="L20" s="5"/>
      <c r="M20" s="17"/>
      <c r="N20" s="4"/>
    </row>
    <row r="21" spans="1:14" x14ac:dyDescent="0.35">
      <c r="A21" s="175" t="s">
        <v>189</v>
      </c>
      <c r="B21" s="5"/>
      <c r="C21" s="153"/>
      <c r="D21" s="5" t="str">
        <f>VLOOKUP(A21,'MASTER AKUN'!A7:E62,2,)</f>
        <v>Uang Muka Pembelian</v>
      </c>
      <c r="E21" s="10"/>
      <c r="F21" s="17"/>
      <c r="G21" s="17">
        <v>6000000</v>
      </c>
      <c r="H21" s="218"/>
      <c r="I21" s="7"/>
      <c r="J21" s="17"/>
      <c r="K21" s="17"/>
      <c r="L21" s="5"/>
      <c r="M21" s="17"/>
      <c r="N21" s="4"/>
    </row>
    <row r="22" spans="1:14" ht="15" thickBot="1" x14ac:dyDescent="0.4">
      <c r="A22" s="175" t="s">
        <v>199</v>
      </c>
      <c r="B22" s="5"/>
      <c r="C22" s="153"/>
      <c r="D22" s="5" t="str">
        <f>VLOOKUP(A22,'MASTER AKUN'!A4:E60,2,)</f>
        <v>Hutang Usaha</v>
      </c>
      <c r="E22" s="10" t="s">
        <v>156</v>
      </c>
      <c r="F22" s="17"/>
      <c r="G22" s="17">
        <v>17925000</v>
      </c>
      <c r="H22" s="218"/>
      <c r="I22" s="7"/>
      <c r="J22" s="17"/>
      <c r="K22" s="17"/>
      <c r="L22" s="5"/>
      <c r="M22" s="17"/>
      <c r="N22" s="4"/>
    </row>
    <row r="23" spans="1:14" x14ac:dyDescent="0.35">
      <c r="A23" s="176" t="s">
        <v>199</v>
      </c>
      <c r="B23" s="13"/>
      <c r="C23" s="46" t="s">
        <v>270</v>
      </c>
      <c r="D23" s="8" t="str">
        <f>VLOOKUP(A23,'MASTER AKUN'!A5:E61,2,)</f>
        <v>Hutang Usaha</v>
      </c>
      <c r="E23" s="13" t="s">
        <v>156</v>
      </c>
      <c r="F23" s="51">
        <f>SUM(G24:G25)</f>
        <v>357500</v>
      </c>
      <c r="G23" s="16"/>
      <c r="H23" s="220"/>
      <c r="I23" s="13"/>
      <c r="J23" s="51"/>
      <c r="K23" s="16"/>
      <c r="L23" s="8"/>
      <c r="M23" s="16"/>
      <c r="N23" s="16"/>
    </row>
    <row r="24" spans="1:14" x14ac:dyDescent="0.35">
      <c r="A24" s="177" t="s">
        <v>188</v>
      </c>
      <c r="B24" s="5"/>
      <c r="C24" s="40"/>
      <c r="D24" s="41" t="str">
        <f>VLOOKUP(A24,'MASTER AKUN'!A6:E62,2,)</f>
        <v>PPN Masukan</v>
      </c>
      <c r="E24" s="5"/>
      <c r="F24" s="53"/>
      <c r="G24" s="17">
        <v>32500</v>
      </c>
      <c r="H24" s="216"/>
      <c r="I24" s="5"/>
      <c r="J24" s="53"/>
      <c r="K24" s="17"/>
      <c r="L24" s="41"/>
      <c r="M24" s="17"/>
      <c r="N24" s="17"/>
    </row>
    <row r="25" spans="1:14" ht="15" thickBot="1" x14ac:dyDescent="0.4">
      <c r="A25" s="178" t="s">
        <v>171</v>
      </c>
      <c r="B25" s="6"/>
      <c r="C25" s="47"/>
      <c r="D25" s="11" t="str">
        <f>VLOOKUP(A25,'MASTER AKUN'!A7:E63,2,)</f>
        <v>Persediaan Barang Dagangan</v>
      </c>
      <c r="E25" s="6"/>
      <c r="F25" s="52"/>
      <c r="G25" s="18">
        <v>325000</v>
      </c>
      <c r="H25" s="221" t="s">
        <v>131</v>
      </c>
      <c r="I25" s="6"/>
      <c r="J25" s="52"/>
      <c r="K25" s="18"/>
      <c r="L25" s="11">
        <v>1</v>
      </c>
      <c r="M25" s="18">
        <v>325000</v>
      </c>
      <c r="N25" s="18">
        <v>32500</v>
      </c>
    </row>
    <row r="26" spans="1:14" x14ac:dyDescent="0.35">
      <c r="A26" s="176" t="s">
        <v>164</v>
      </c>
      <c r="B26" s="13"/>
      <c r="C26" s="46" t="s">
        <v>271</v>
      </c>
      <c r="D26" s="8" t="str">
        <f>VLOOKUP(A26,'MASTER AKUN'!A4:B59,2,FALSE)</f>
        <v>Bank BCA</v>
      </c>
      <c r="E26" s="13"/>
      <c r="F26" s="51">
        <v>30000000</v>
      </c>
      <c r="G26" s="16"/>
      <c r="H26" s="220"/>
      <c r="I26" s="13"/>
      <c r="J26" s="51"/>
      <c r="K26" s="16"/>
      <c r="L26" s="8"/>
      <c r="M26" s="16"/>
      <c r="N26" s="16"/>
    </row>
    <row r="27" spans="1:14" ht="15" thickBot="1" x14ac:dyDescent="0.4">
      <c r="A27" s="177" t="s">
        <v>165</v>
      </c>
      <c r="B27" s="6"/>
      <c r="C27" s="47"/>
      <c r="D27" s="11" t="str">
        <f>VLOOKUP(A27,'MASTER AKUN'!A5:B60,2,FALSE)</f>
        <v>Bank Mandiri</v>
      </c>
      <c r="E27" s="6"/>
      <c r="F27" s="52"/>
      <c r="G27" s="18">
        <v>30000000</v>
      </c>
      <c r="H27" s="221"/>
      <c r="I27" s="6"/>
      <c r="J27" s="52"/>
      <c r="K27" s="18"/>
      <c r="L27" s="11"/>
      <c r="M27" s="18"/>
      <c r="N27" s="18"/>
    </row>
    <row r="28" spans="1:14" x14ac:dyDescent="0.35">
      <c r="A28" s="179" t="s">
        <v>164</v>
      </c>
      <c r="B28" s="9"/>
      <c r="C28" s="46" t="s">
        <v>272</v>
      </c>
      <c r="D28" s="8" t="str">
        <f>VLOOKUP(A28,'MASTER AKUN'!A7:B62,2,FALSE)</f>
        <v>Bank BCA</v>
      </c>
      <c r="E28" s="13"/>
      <c r="F28" s="51">
        <v>14700000</v>
      </c>
      <c r="G28" s="16"/>
      <c r="H28" s="220"/>
      <c r="I28" s="13"/>
      <c r="J28" s="51"/>
      <c r="K28" s="16"/>
      <c r="L28" s="8"/>
      <c r="M28" s="150"/>
      <c r="N28" s="16"/>
    </row>
    <row r="29" spans="1:14" x14ac:dyDescent="0.35">
      <c r="A29" s="180" t="s">
        <v>212</v>
      </c>
      <c r="B29" s="10"/>
      <c r="C29" s="40"/>
      <c r="D29" s="41" t="str">
        <f>VLOOKUP(A29,'MASTER AKUN'!A8:B63,2,FALSE)</f>
        <v>Potongan Penjualan</v>
      </c>
      <c r="E29" s="5"/>
      <c r="F29" s="53">
        <v>300000</v>
      </c>
      <c r="G29" s="17"/>
      <c r="H29" s="216"/>
      <c r="I29" s="5"/>
      <c r="J29" s="53"/>
      <c r="K29" s="17"/>
      <c r="L29" s="41"/>
      <c r="M29" s="151"/>
      <c r="N29" s="157"/>
    </row>
    <row r="30" spans="1:14" ht="15" thickBot="1" x14ac:dyDescent="0.4">
      <c r="A30" s="172" t="s">
        <v>167</v>
      </c>
      <c r="B30" s="10"/>
      <c r="C30" s="40"/>
      <c r="D30" s="41" t="str">
        <f>VLOOKUP(A30,'MASTER AKUN'!A9:B64,2,FALSE)</f>
        <v>Piutang Usaha</v>
      </c>
      <c r="E30" s="6" t="s">
        <v>72</v>
      </c>
      <c r="F30" s="53"/>
      <c r="G30" s="17">
        <f>SUM(F28:F29)</f>
        <v>15000000</v>
      </c>
      <c r="H30" s="216"/>
      <c r="I30" s="5"/>
      <c r="J30" s="53"/>
      <c r="K30" s="17"/>
      <c r="L30" s="41"/>
      <c r="M30" s="151"/>
      <c r="N30" s="157"/>
    </row>
    <row r="31" spans="1:14" x14ac:dyDescent="0.35">
      <c r="A31" s="179" t="s">
        <v>165</v>
      </c>
      <c r="B31" s="9"/>
      <c r="C31" s="46" t="s">
        <v>288</v>
      </c>
      <c r="D31" s="8" t="str">
        <f>VLOOKUP(A31,'MASTER AKUN'!A4:B59,2,FALSE)</f>
        <v>Bank Mandiri</v>
      </c>
      <c r="E31" s="13"/>
      <c r="F31" s="51">
        <v>9800000</v>
      </c>
      <c r="G31" s="16"/>
      <c r="H31" s="220"/>
      <c r="I31" s="13"/>
      <c r="J31" s="51"/>
      <c r="K31" s="16"/>
      <c r="L31" s="8"/>
      <c r="M31" s="150"/>
      <c r="N31" s="14"/>
    </row>
    <row r="32" spans="1:14" x14ac:dyDescent="0.35">
      <c r="A32" s="180" t="s">
        <v>212</v>
      </c>
      <c r="B32" s="10"/>
      <c r="C32" s="40"/>
      <c r="D32" s="41" t="str">
        <f>VLOOKUP(A32,'MASTER AKUN'!A5:B60,2,FALSE)</f>
        <v>Potongan Penjualan</v>
      </c>
      <c r="E32" s="5"/>
      <c r="F32" s="53">
        <v>200000</v>
      </c>
      <c r="G32" s="17"/>
      <c r="H32" s="216"/>
      <c r="I32" s="5"/>
      <c r="J32" s="53"/>
      <c r="K32" s="17"/>
      <c r="L32" s="41"/>
      <c r="M32" s="151"/>
      <c r="N32" s="157"/>
    </row>
    <row r="33" spans="1:14" ht="15" thickBot="1" x14ac:dyDescent="0.4">
      <c r="A33" s="181" t="s">
        <v>167</v>
      </c>
      <c r="B33" s="12"/>
      <c r="C33" s="47"/>
      <c r="D33" s="11" t="str">
        <f>VLOOKUP(A33,'MASTER AKUN'!A6:B61,2,FALSE)</f>
        <v>Piutang Usaha</v>
      </c>
      <c r="E33" s="6" t="s">
        <v>70</v>
      </c>
      <c r="F33" s="52"/>
      <c r="G33" s="18">
        <f>SUM(F31:F32)</f>
        <v>10000000</v>
      </c>
      <c r="H33" s="221"/>
      <c r="I33" s="6"/>
      <c r="J33" s="52"/>
      <c r="K33" s="18"/>
      <c r="L33" s="11"/>
      <c r="M33" s="149"/>
      <c r="N33" s="156"/>
    </row>
    <row r="34" spans="1:14" x14ac:dyDescent="0.35">
      <c r="A34" s="162" t="s">
        <v>185</v>
      </c>
      <c r="B34" s="9"/>
      <c r="C34" s="46" t="s">
        <v>289</v>
      </c>
      <c r="D34" s="8" t="str">
        <f>VLOOKUP(A34,'MASTER AKUN'!A7:B62,2,FALSE)</f>
        <v>Beban Sewa</v>
      </c>
      <c r="E34" s="13"/>
      <c r="F34" s="51">
        <v>2750000</v>
      </c>
      <c r="G34" s="16"/>
      <c r="H34" s="220"/>
      <c r="I34" s="13"/>
      <c r="J34" s="51"/>
      <c r="K34" s="16"/>
      <c r="L34" s="8"/>
      <c r="M34" s="150"/>
      <c r="N34" s="155"/>
    </row>
    <row r="35" spans="1:14" x14ac:dyDescent="0.35">
      <c r="A35" s="171" t="s">
        <v>204</v>
      </c>
      <c r="B35" s="10"/>
      <c r="C35" s="40"/>
      <c r="D35" s="41" t="str">
        <f>VLOOKUP(A35,'MASTER AKUN'!A8:B63,2,FALSE)</f>
        <v>Utang PPh Pasal 4</v>
      </c>
      <c r="E35" s="5"/>
      <c r="F35" s="53"/>
      <c r="G35" s="17">
        <v>250000</v>
      </c>
      <c r="H35" s="216"/>
      <c r="I35" s="5"/>
      <c r="J35" s="53"/>
      <c r="K35" s="17"/>
      <c r="L35" s="41"/>
      <c r="M35" s="151"/>
      <c r="N35" s="157"/>
    </row>
    <row r="36" spans="1:14" ht="15" thickBot="1" x14ac:dyDescent="0.4">
      <c r="A36" s="181" t="s">
        <v>165</v>
      </c>
      <c r="B36" s="12"/>
      <c r="C36" s="47"/>
      <c r="D36" s="11" t="str">
        <f>VLOOKUP(A36,'MASTER AKUN'!A9:B64,2,FALSE)</f>
        <v>Bank Mandiri</v>
      </c>
      <c r="E36" s="6"/>
      <c r="F36" s="52"/>
      <c r="G36" s="18">
        <v>2500000</v>
      </c>
      <c r="H36" s="221"/>
      <c r="I36" s="6"/>
      <c r="J36" s="52"/>
      <c r="K36" s="18"/>
      <c r="L36" s="11"/>
      <c r="M36" s="149"/>
      <c r="N36" s="156"/>
    </row>
    <row r="37" spans="1:14" x14ac:dyDescent="0.35">
      <c r="A37" s="182" t="s">
        <v>211</v>
      </c>
      <c r="B37" s="13"/>
      <c r="C37" s="81" t="s">
        <v>273</v>
      </c>
      <c r="D37" s="13" t="str">
        <f>VLOOKUP(A37,'MASTER AKUN'!A10:B65,2,FALSE)</f>
        <v>Retur penjualan</v>
      </c>
      <c r="E37" s="13"/>
      <c r="F37" s="51">
        <v>375000</v>
      </c>
      <c r="G37" s="16"/>
      <c r="H37" s="220"/>
      <c r="I37" s="13"/>
      <c r="J37" s="51"/>
      <c r="K37" s="16"/>
      <c r="L37" s="8"/>
      <c r="M37" s="150"/>
      <c r="N37" s="155"/>
    </row>
    <row r="38" spans="1:14" x14ac:dyDescent="0.35">
      <c r="A38" s="173" t="s">
        <v>205</v>
      </c>
      <c r="B38" s="5"/>
      <c r="C38" s="50"/>
      <c r="D38" s="5" t="str">
        <f>VLOOKUP(A38,'MASTER AKUN'!A11:B66,2,FALSE)</f>
        <v>PPN Keluaran</v>
      </c>
      <c r="E38" s="5"/>
      <c r="F38" s="53">
        <v>37500</v>
      </c>
      <c r="G38" s="17"/>
      <c r="H38" s="216"/>
      <c r="I38" s="5"/>
      <c r="J38" s="53"/>
      <c r="K38" s="17"/>
      <c r="L38" s="41"/>
      <c r="M38" s="151"/>
      <c r="N38" s="7"/>
    </row>
    <row r="39" spans="1:14" x14ac:dyDescent="0.35">
      <c r="A39" s="183" t="s">
        <v>162</v>
      </c>
      <c r="B39" s="5"/>
      <c r="C39" s="50"/>
      <c r="D39" s="5" t="str">
        <f>VLOOKUP(A39,'MASTER AKUN'!A4:B59,2,FALSE)</f>
        <v>Kas Di Tangan</v>
      </c>
      <c r="E39" s="5"/>
      <c r="F39" s="53"/>
      <c r="G39" s="17">
        <v>412500</v>
      </c>
      <c r="H39" s="216"/>
      <c r="I39" s="5"/>
      <c r="J39" s="53"/>
      <c r="K39" s="17"/>
      <c r="L39" s="41"/>
      <c r="M39" s="151"/>
      <c r="N39" s="17"/>
    </row>
    <row r="40" spans="1:14" x14ac:dyDescent="0.35">
      <c r="A40" s="173" t="s">
        <v>171</v>
      </c>
      <c r="B40" s="5"/>
      <c r="C40" s="50"/>
      <c r="D40" s="5" t="str">
        <f>VLOOKUP(A40,'MASTER AKUN'!A14:B69,2,FALSE)</f>
        <v>Persediaan Barang Dagangan</v>
      </c>
      <c r="E40" s="5"/>
      <c r="F40" s="53">
        <v>325000</v>
      </c>
      <c r="G40" s="17"/>
      <c r="H40" s="216" t="s">
        <v>131</v>
      </c>
      <c r="I40" s="5"/>
      <c r="J40" s="53"/>
      <c r="K40" s="17"/>
      <c r="L40" s="41">
        <v>1</v>
      </c>
      <c r="M40" s="151">
        <v>3750000</v>
      </c>
      <c r="N40" s="17">
        <v>3750000</v>
      </c>
    </row>
    <row r="41" spans="1:14" ht="15" thickBot="1" x14ac:dyDescent="0.4">
      <c r="A41" s="184" t="s">
        <v>3</v>
      </c>
      <c r="B41" s="6"/>
      <c r="C41" s="167"/>
      <c r="D41" s="6" t="str">
        <f>VLOOKUP(A41,'MASTER AKUN'!A14:B59,2,FALSE)</f>
        <v>Harga Pokok Penjualan</v>
      </c>
      <c r="E41" s="6"/>
      <c r="F41" s="52"/>
      <c r="G41" s="18">
        <v>325000</v>
      </c>
      <c r="H41" s="221"/>
      <c r="I41" s="6"/>
      <c r="J41" s="52"/>
      <c r="K41" s="18"/>
      <c r="L41" s="11"/>
      <c r="M41" s="149"/>
      <c r="N41" s="18"/>
    </row>
    <row r="42" spans="1:14" x14ac:dyDescent="0.35">
      <c r="A42" s="176" t="s">
        <v>165</v>
      </c>
      <c r="B42" s="13"/>
      <c r="C42" s="50" t="s">
        <v>274</v>
      </c>
      <c r="D42" s="13" t="str">
        <f>VLOOKUP(A42,'MASTER AKUN'!A4:B59,2,FALSE)</f>
        <v>Bank Mandiri</v>
      </c>
      <c r="E42" s="13"/>
      <c r="F42" s="51">
        <v>7500000</v>
      </c>
      <c r="G42" s="16"/>
      <c r="H42" s="220"/>
      <c r="I42" s="13"/>
      <c r="J42" s="51"/>
      <c r="K42" s="16"/>
      <c r="L42" s="8"/>
      <c r="M42" s="16"/>
      <c r="N42" s="16"/>
    </row>
    <row r="43" spans="1:14" ht="15" thickBot="1" x14ac:dyDescent="0.4">
      <c r="A43" s="177" t="s">
        <v>167</v>
      </c>
      <c r="B43" s="5"/>
      <c r="C43" s="50"/>
      <c r="D43" s="5" t="str">
        <f>VLOOKUP(A43,'MASTER AKUN'!A5:B60,2,FALSE)</f>
        <v>Piutang Usaha</v>
      </c>
      <c r="E43" s="5" t="s">
        <v>74</v>
      </c>
      <c r="F43" s="53"/>
      <c r="G43" s="17">
        <v>7500000</v>
      </c>
      <c r="H43" s="216"/>
      <c r="I43" s="5"/>
      <c r="J43" s="53"/>
      <c r="K43" s="17"/>
      <c r="L43" s="41"/>
      <c r="M43" s="17"/>
      <c r="N43" s="17"/>
    </row>
    <row r="44" spans="1:14" x14ac:dyDescent="0.35">
      <c r="A44" s="179" t="s">
        <v>184</v>
      </c>
      <c r="B44" s="9"/>
      <c r="C44" s="81" t="s">
        <v>287</v>
      </c>
      <c r="D44" s="13" t="str">
        <f>VLOOKUP(A44,'MASTER AKUN'!A6:B61,2,FALSE)</f>
        <v>Beban Listrik</v>
      </c>
      <c r="E44" s="13"/>
      <c r="F44" s="51">
        <v>175000</v>
      </c>
      <c r="G44" s="16"/>
      <c r="H44" s="220"/>
      <c r="I44" s="13"/>
      <c r="J44" s="51"/>
      <c r="K44" s="16"/>
      <c r="L44" s="8"/>
      <c r="M44" s="16"/>
      <c r="N44" s="16"/>
    </row>
    <row r="45" spans="1:14" x14ac:dyDescent="0.35">
      <c r="A45" s="185" t="s">
        <v>183</v>
      </c>
      <c r="B45" s="10"/>
      <c r="C45" s="50"/>
      <c r="D45" s="5" t="str">
        <f>VLOOKUP(A45,'MASTER AKUN'!A7:B62,2,FALSE)</f>
        <v>Beban Telepon</v>
      </c>
      <c r="E45" s="5"/>
      <c r="F45" s="53">
        <v>212500</v>
      </c>
      <c r="G45" s="17"/>
      <c r="H45" s="216"/>
      <c r="I45" s="5"/>
      <c r="J45" s="53"/>
      <c r="K45" s="17"/>
      <c r="L45" s="41"/>
      <c r="M45" s="17"/>
      <c r="N45" s="17"/>
    </row>
    <row r="46" spans="1:14" ht="15" thickBot="1" x14ac:dyDescent="0.4">
      <c r="A46" s="181" t="s">
        <v>165</v>
      </c>
      <c r="B46" s="12"/>
      <c r="C46" s="167"/>
      <c r="D46" s="6" t="str">
        <f>VLOOKUP(A46,'MASTER AKUN'!A8:B63,2,FALSE)</f>
        <v>Bank Mandiri</v>
      </c>
      <c r="E46" s="6"/>
      <c r="F46" s="52"/>
      <c r="G46" s="18">
        <f>SUM(F44:F45)</f>
        <v>387500</v>
      </c>
      <c r="H46" s="221"/>
      <c r="I46" s="6"/>
      <c r="J46" s="52"/>
      <c r="K46" s="18"/>
      <c r="L46" s="11"/>
      <c r="M46" s="18"/>
      <c r="N46" s="18"/>
    </row>
    <row r="47" spans="1:14" x14ac:dyDescent="0.35">
      <c r="A47" s="186" t="s">
        <v>196</v>
      </c>
      <c r="B47" s="13"/>
      <c r="C47" s="81" t="s">
        <v>275</v>
      </c>
      <c r="D47" s="13" t="str">
        <f>VLOOKUP(A47,'MASTER AKUN'!A4:B59,2,FALSE)</f>
        <v>Kendaraan</v>
      </c>
      <c r="E47" s="13"/>
      <c r="F47" s="51">
        <v>11500000</v>
      </c>
      <c r="G47" s="16"/>
      <c r="H47" s="220"/>
      <c r="I47" s="13"/>
      <c r="J47" s="51"/>
      <c r="K47" s="16"/>
      <c r="L47" s="8"/>
      <c r="M47" s="16"/>
      <c r="N47" s="16"/>
    </row>
    <row r="48" spans="1:14" ht="15" thickBot="1" x14ac:dyDescent="0.4">
      <c r="A48" s="184" t="s">
        <v>164</v>
      </c>
      <c r="B48" s="6"/>
      <c r="C48" s="167"/>
      <c r="D48" s="6" t="str">
        <f>VLOOKUP(A48,'MASTER AKUN'!A5:B60,2,FALSE)</f>
        <v>Bank BCA</v>
      </c>
      <c r="E48" s="6"/>
      <c r="F48" s="52"/>
      <c r="G48" s="18">
        <v>11500000</v>
      </c>
      <c r="H48" s="221"/>
      <c r="I48" s="6"/>
      <c r="J48" s="52"/>
      <c r="K48" s="18"/>
      <c r="L48" s="11"/>
      <c r="M48" s="18"/>
      <c r="N48" s="18"/>
    </row>
    <row r="49" spans="1:14" x14ac:dyDescent="0.35">
      <c r="A49" s="176" t="s">
        <v>167</v>
      </c>
      <c r="B49" s="13"/>
      <c r="C49" s="81" t="s">
        <v>276</v>
      </c>
      <c r="D49" s="13" t="str">
        <f>VLOOKUP(A49,'MASTER AKUN'!A7:B62,2,FALSE)</f>
        <v>Piutang Usaha</v>
      </c>
      <c r="E49" s="13" t="s">
        <v>72</v>
      </c>
      <c r="F49" s="51">
        <f>SUM(G50:G51)</f>
        <v>29425000</v>
      </c>
      <c r="G49" s="16"/>
      <c r="H49" s="220"/>
      <c r="I49" s="13"/>
      <c r="J49" s="51"/>
      <c r="K49" s="16"/>
      <c r="L49" s="8"/>
      <c r="M49" s="16"/>
      <c r="N49" s="16"/>
    </row>
    <row r="50" spans="1:14" x14ac:dyDescent="0.35">
      <c r="A50" s="187" t="s">
        <v>1</v>
      </c>
      <c r="B50" s="5"/>
      <c r="C50" s="50"/>
      <c r="D50" s="5" t="str">
        <f>VLOOKUP(A50,'MASTER AKUN'!A8:B63,2,FALSE)</f>
        <v xml:space="preserve">Penjualan </v>
      </c>
      <c r="E50" s="5"/>
      <c r="F50" s="53"/>
      <c r="G50" s="17">
        <v>26750000</v>
      </c>
      <c r="H50" s="216"/>
      <c r="I50" s="5"/>
      <c r="J50" s="53"/>
      <c r="K50" s="17"/>
      <c r="L50" s="41"/>
      <c r="M50" s="17"/>
      <c r="N50" s="17"/>
    </row>
    <row r="51" spans="1:14" x14ac:dyDescent="0.35">
      <c r="A51" s="173" t="s">
        <v>205</v>
      </c>
      <c r="B51" s="5"/>
      <c r="C51" s="50"/>
      <c r="D51" s="5" t="str">
        <f>VLOOKUP(A51,'MASTER AKUN'!A9:B64,2,FALSE)</f>
        <v>PPN Keluaran</v>
      </c>
      <c r="E51" s="5"/>
      <c r="F51" s="53"/>
      <c r="G51" s="17">
        <v>2675000</v>
      </c>
      <c r="H51" s="216"/>
      <c r="I51" s="5"/>
      <c r="J51" s="53"/>
      <c r="K51" s="17"/>
      <c r="L51" s="41"/>
      <c r="M51" s="17"/>
      <c r="N51" s="17"/>
    </row>
    <row r="52" spans="1:14" x14ac:dyDescent="0.35">
      <c r="A52" s="177" t="s">
        <v>3</v>
      </c>
      <c r="B52" s="5"/>
      <c r="C52" s="50"/>
      <c r="D52" s="5" t="str">
        <f>VLOOKUP(A52,'MASTER AKUN'!A10:B65,2,FALSE)</f>
        <v>Harga Pokok Penjualan</v>
      </c>
      <c r="E52" s="5"/>
      <c r="F52" s="53">
        <f>SUM(G53:G55)</f>
        <v>21940000</v>
      </c>
      <c r="G52" s="17"/>
      <c r="H52" s="216"/>
      <c r="I52" s="5"/>
      <c r="J52" s="53"/>
      <c r="K52" s="17"/>
      <c r="L52" s="41"/>
      <c r="M52" s="17"/>
      <c r="N52" s="17"/>
    </row>
    <row r="53" spans="1:14" x14ac:dyDescent="0.35">
      <c r="A53" s="173" t="s">
        <v>171</v>
      </c>
      <c r="B53" s="5"/>
      <c r="C53" s="50"/>
      <c r="D53" s="5" t="str">
        <f>VLOOKUP(A53,'MASTER AKUN'!A11:B66,2,FALSE)</f>
        <v>Persediaan Barang Dagangan</v>
      </c>
      <c r="E53" s="5"/>
      <c r="F53" s="53"/>
      <c r="G53" s="17">
        <v>7000000</v>
      </c>
      <c r="H53" s="216" t="s">
        <v>132</v>
      </c>
      <c r="I53" s="5"/>
      <c r="J53" s="53"/>
      <c r="K53" s="17"/>
      <c r="L53" s="41">
        <v>5</v>
      </c>
      <c r="M53" s="17">
        <v>1400000</v>
      </c>
      <c r="N53" s="17">
        <f>M53*L53</f>
        <v>7000000</v>
      </c>
    </row>
    <row r="54" spans="1:14" x14ac:dyDescent="0.35">
      <c r="A54" s="173" t="s">
        <v>171</v>
      </c>
      <c r="B54" s="5"/>
      <c r="C54" s="50"/>
      <c r="D54" s="5" t="str">
        <f>VLOOKUP(A54,'MASTER AKUN'!A12:B67,2,FALSE)</f>
        <v>Persediaan Barang Dagangan</v>
      </c>
      <c r="E54" s="5"/>
      <c r="F54" s="53"/>
      <c r="G54" s="17">
        <v>11400000</v>
      </c>
      <c r="H54" s="216" t="s">
        <v>145</v>
      </c>
      <c r="I54" s="5"/>
      <c r="J54" s="53"/>
      <c r="K54" s="17"/>
      <c r="L54" s="41">
        <v>4</v>
      </c>
      <c r="M54" s="17">
        <v>2850000</v>
      </c>
      <c r="N54" s="17">
        <f t="shared" ref="N54:N55" si="0">M54*L54</f>
        <v>11400000</v>
      </c>
    </row>
    <row r="55" spans="1:14" ht="15" thickBot="1" x14ac:dyDescent="0.4">
      <c r="A55" s="178" t="s">
        <v>171</v>
      </c>
      <c r="B55" s="6"/>
      <c r="C55" s="167"/>
      <c r="D55" s="6" t="str">
        <f>VLOOKUP(A55,'MASTER AKUN'!A13:B68,2,FALSE)</f>
        <v>Persediaan Barang Dagangan</v>
      </c>
      <c r="E55" s="6"/>
      <c r="F55" s="52"/>
      <c r="G55" s="18">
        <v>3540000</v>
      </c>
      <c r="H55" s="221" t="s">
        <v>146</v>
      </c>
      <c r="I55" s="6"/>
      <c r="J55" s="52"/>
      <c r="K55" s="18"/>
      <c r="L55" s="11">
        <v>6</v>
      </c>
      <c r="M55" s="18">
        <v>590000</v>
      </c>
      <c r="N55" s="17">
        <f t="shared" si="0"/>
        <v>3540000</v>
      </c>
    </row>
    <row r="56" spans="1:14" x14ac:dyDescent="0.35">
      <c r="A56" s="176" t="s">
        <v>165</v>
      </c>
      <c r="B56" s="13"/>
      <c r="C56" s="81" t="s">
        <v>277</v>
      </c>
      <c r="D56" s="13" t="str">
        <f>VLOOKUP('JURNAL UMUM'!A56,'MASTER AKUN'!A4:B59,2,FALSE)</f>
        <v>Bank Mandiri</v>
      </c>
      <c r="E56" s="13"/>
      <c r="F56" s="51">
        <v>10000000</v>
      </c>
      <c r="G56" s="16"/>
      <c r="H56" s="220"/>
      <c r="I56" s="13"/>
      <c r="J56" s="51"/>
      <c r="K56" s="16"/>
      <c r="L56" s="8"/>
      <c r="M56" s="16"/>
      <c r="N56" s="16"/>
    </row>
    <row r="57" spans="1:14" x14ac:dyDescent="0.35">
      <c r="A57" s="177" t="s">
        <v>167</v>
      </c>
      <c r="B57" s="5"/>
      <c r="C57" s="50"/>
      <c r="D57" s="5" t="str">
        <f>VLOOKUP('JURNAL UMUM'!A57,'MASTER AKUN'!A5:B60,2,FALSE)</f>
        <v>Piutang Usaha</v>
      </c>
      <c r="E57" s="70" t="s">
        <v>70</v>
      </c>
      <c r="F57" s="53">
        <v>30535000</v>
      </c>
      <c r="G57" s="17"/>
      <c r="H57" s="216"/>
      <c r="I57" s="5"/>
      <c r="J57" s="53"/>
      <c r="K57" s="17"/>
      <c r="L57" s="41"/>
      <c r="M57" s="17"/>
      <c r="N57" s="17"/>
    </row>
    <row r="58" spans="1:14" x14ac:dyDescent="0.35">
      <c r="A58" s="177" t="s">
        <v>1</v>
      </c>
      <c r="B58" s="5"/>
      <c r="C58" s="50"/>
      <c r="D58" s="5" t="str">
        <f>VLOOKUP(A58,'MASTER AKUN'!A17:B72,2,FALSE)</f>
        <v xml:space="preserve">Penjualan </v>
      </c>
      <c r="E58" s="5"/>
      <c r="F58" s="53"/>
      <c r="G58" s="17">
        <v>36850000</v>
      </c>
      <c r="H58" s="216"/>
      <c r="I58" s="5"/>
      <c r="J58" s="53"/>
      <c r="K58" s="17"/>
      <c r="L58" s="41"/>
      <c r="M58" s="17"/>
      <c r="N58" s="17"/>
    </row>
    <row r="59" spans="1:14" x14ac:dyDescent="0.35">
      <c r="A59" s="177" t="s">
        <v>205</v>
      </c>
      <c r="B59" s="5"/>
      <c r="C59" s="50"/>
      <c r="D59" s="5" t="str">
        <f>VLOOKUP(A59,'MASTER AKUN'!A18:B73,2,FALSE)</f>
        <v>PPN Keluaran</v>
      </c>
      <c r="E59" s="5"/>
      <c r="F59" s="53"/>
      <c r="G59" s="17">
        <v>3685000</v>
      </c>
      <c r="H59" s="216"/>
      <c r="I59" s="5"/>
      <c r="J59" s="53"/>
      <c r="K59" s="17"/>
      <c r="L59" s="41"/>
      <c r="M59" s="17"/>
      <c r="N59" s="17"/>
    </row>
    <row r="60" spans="1:14" x14ac:dyDescent="0.35">
      <c r="A60" s="177" t="s">
        <v>3</v>
      </c>
      <c r="B60" s="5"/>
      <c r="C60" s="50"/>
      <c r="D60" s="5" t="str">
        <f>VLOOKUP(A60,'MASTER AKUN'!A19:B74,2,FALSE)</f>
        <v>Harga Pokok Penjualan</v>
      </c>
      <c r="E60" s="5"/>
      <c r="F60" s="53">
        <f>SUM(G61:G63)</f>
        <v>29150000</v>
      </c>
      <c r="G60" s="17"/>
      <c r="H60" s="216"/>
      <c r="I60" s="5"/>
      <c r="J60" s="53"/>
      <c r="K60" s="17"/>
      <c r="L60" s="41"/>
      <c r="M60" s="17"/>
      <c r="N60" s="17"/>
    </row>
    <row r="61" spans="1:14" x14ac:dyDescent="0.35">
      <c r="A61" s="177" t="s">
        <v>171</v>
      </c>
      <c r="B61" s="5"/>
      <c r="C61" s="50"/>
      <c r="D61" s="5" t="str">
        <f>VLOOKUP(A61,'MASTER AKUN'!A4:B59,2,FALSE)</f>
        <v>Persediaan Barang Dagangan</v>
      </c>
      <c r="E61" s="5"/>
      <c r="F61" s="53"/>
      <c r="G61" s="17">
        <v>7800000</v>
      </c>
      <c r="H61" s="216" t="s">
        <v>147</v>
      </c>
      <c r="I61" s="5"/>
      <c r="J61" s="53"/>
      <c r="K61" s="17"/>
      <c r="L61" s="41">
        <v>6</v>
      </c>
      <c r="M61" s="17">
        <v>1300000</v>
      </c>
      <c r="N61" s="17">
        <f>M61*L61</f>
        <v>7800000</v>
      </c>
    </row>
    <row r="62" spans="1:14" x14ac:dyDescent="0.35">
      <c r="A62" s="177" t="s">
        <v>171</v>
      </c>
      <c r="B62" s="5"/>
      <c r="C62" s="50"/>
      <c r="D62" s="5" t="str">
        <f>VLOOKUP(A62,'MASTER AKUN'!A5:B60,2,FALSE)</f>
        <v>Persediaan Barang Dagangan</v>
      </c>
      <c r="E62" s="5"/>
      <c r="F62" s="53"/>
      <c r="G62" s="17">
        <v>14000000</v>
      </c>
      <c r="H62" s="216" t="s">
        <v>148</v>
      </c>
      <c r="I62" s="5"/>
      <c r="J62" s="53"/>
      <c r="K62" s="17"/>
      <c r="L62" s="41">
        <v>8</v>
      </c>
      <c r="M62" s="17">
        <v>1750000</v>
      </c>
      <c r="N62" s="17">
        <f t="shared" ref="N62:N63" si="1">M62*L62</f>
        <v>14000000</v>
      </c>
    </row>
    <row r="63" spans="1:14" ht="15" thickBot="1" x14ac:dyDescent="0.4">
      <c r="A63" s="177" t="s">
        <v>171</v>
      </c>
      <c r="B63" s="5"/>
      <c r="C63" s="50"/>
      <c r="D63" s="5" t="str">
        <f>VLOOKUP(A63,'MASTER AKUN'!A6:B61,2,FALSE)</f>
        <v>Persediaan Barang Dagangan</v>
      </c>
      <c r="E63" s="5"/>
      <c r="F63" s="53"/>
      <c r="G63" s="17">
        <v>7350000</v>
      </c>
      <c r="H63" s="216" t="s">
        <v>149</v>
      </c>
      <c r="I63" s="5"/>
      <c r="J63" s="53"/>
      <c r="K63" s="17"/>
      <c r="L63" s="41">
        <v>7</v>
      </c>
      <c r="M63" s="17">
        <v>1050000</v>
      </c>
      <c r="N63" s="17">
        <f t="shared" si="1"/>
        <v>7350000</v>
      </c>
    </row>
    <row r="64" spans="1:14" x14ac:dyDescent="0.35">
      <c r="A64" s="182" t="s">
        <v>211</v>
      </c>
      <c r="B64" s="13"/>
      <c r="C64" s="81" t="s">
        <v>278</v>
      </c>
      <c r="D64" s="13" t="str">
        <f>VLOOKUP(A64,'MASTER AKUN'!A7:B62,2,FALSE)</f>
        <v>Retur penjualan</v>
      </c>
      <c r="E64" s="13"/>
      <c r="F64" s="51">
        <v>1750000</v>
      </c>
      <c r="G64" s="16"/>
      <c r="H64" s="220"/>
      <c r="I64" s="13"/>
      <c r="J64" s="51"/>
      <c r="K64" s="16"/>
      <c r="L64" s="8"/>
      <c r="M64" s="16"/>
      <c r="N64" s="16"/>
    </row>
    <row r="65" spans="1:14" x14ac:dyDescent="0.35">
      <c r="A65" s="177" t="s">
        <v>205</v>
      </c>
      <c r="B65" s="5"/>
      <c r="C65" s="50"/>
      <c r="D65" s="5" t="str">
        <f>VLOOKUP(A65,'MASTER AKUN'!A8:B63,2,FALSE)</f>
        <v>PPN Keluaran</v>
      </c>
      <c r="E65" s="5"/>
      <c r="F65" s="53">
        <v>175000</v>
      </c>
      <c r="G65" s="17"/>
      <c r="H65" s="216"/>
      <c r="I65" s="5"/>
      <c r="J65" s="53"/>
      <c r="K65" s="17"/>
      <c r="L65" s="41"/>
      <c r="M65" s="17"/>
      <c r="N65" s="17"/>
    </row>
    <row r="66" spans="1:14" x14ac:dyDescent="0.35">
      <c r="A66" s="177" t="s">
        <v>167</v>
      </c>
      <c r="B66" s="5"/>
      <c r="C66" s="50"/>
      <c r="D66" s="5" t="str">
        <f>VLOOKUP(A66,'MASTER AKUN'!A9:B64,2,FALSE)</f>
        <v>Piutang Usaha</v>
      </c>
      <c r="E66" s="5" t="s">
        <v>72</v>
      </c>
      <c r="F66" s="53"/>
      <c r="G66" s="17">
        <f>SUM(F64:F65)</f>
        <v>1925000</v>
      </c>
      <c r="H66" s="216"/>
      <c r="I66" s="5"/>
      <c r="J66" s="53"/>
      <c r="K66" s="17"/>
      <c r="L66" s="41"/>
      <c r="M66" s="17"/>
      <c r="N66" s="17"/>
    </row>
    <row r="67" spans="1:14" x14ac:dyDescent="0.35">
      <c r="A67" s="177" t="s">
        <v>171</v>
      </c>
      <c r="B67" s="5"/>
      <c r="C67" s="50"/>
      <c r="D67" s="5" t="str">
        <f>VLOOKUP(A67,'MASTER AKUN'!A10:B65,2,FALSE)</f>
        <v>Persediaan Barang Dagangan</v>
      </c>
      <c r="E67" s="5"/>
      <c r="F67" s="53">
        <v>1400000</v>
      </c>
      <c r="G67" s="17"/>
      <c r="H67" s="216" t="s">
        <v>132</v>
      </c>
      <c r="I67" s="5"/>
      <c r="J67" s="53"/>
      <c r="K67" s="17"/>
      <c r="L67" s="41">
        <v>1</v>
      </c>
      <c r="M67" s="17">
        <v>1400000</v>
      </c>
      <c r="N67" s="17">
        <v>1400000</v>
      </c>
    </row>
    <row r="68" spans="1:14" ht="15" thickBot="1" x14ac:dyDescent="0.4">
      <c r="A68" s="184" t="s">
        <v>3</v>
      </c>
      <c r="B68" s="6"/>
      <c r="C68" s="167"/>
      <c r="D68" s="6" t="str">
        <f>VLOOKUP(A68,'MASTER AKUN'!A11:B66,2,FALSE)</f>
        <v>Harga Pokok Penjualan</v>
      </c>
      <c r="E68" s="6"/>
      <c r="F68" s="52"/>
      <c r="G68" s="18">
        <v>1400000</v>
      </c>
      <c r="H68" s="221"/>
      <c r="I68" s="6"/>
      <c r="J68" s="52"/>
      <c r="K68" s="18"/>
      <c r="L68" s="11"/>
      <c r="M68" s="18"/>
      <c r="N68" s="18"/>
    </row>
    <row r="69" spans="1:14" x14ac:dyDescent="0.35">
      <c r="A69" s="176" t="s">
        <v>165</v>
      </c>
      <c r="B69" s="13"/>
      <c r="C69" s="81" t="s">
        <v>279</v>
      </c>
      <c r="D69" s="13" t="str">
        <f>VLOOKUP(A69,'MASTER AKUN'!A4:B59,2,FALSE)</f>
        <v>Bank Mandiri</v>
      </c>
      <c r="E69" s="13"/>
      <c r="F69" s="51">
        <f>SUM(G70:G71)</f>
        <v>31559000</v>
      </c>
      <c r="G69" s="16"/>
      <c r="H69" s="220"/>
      <c r="I69" s="13"/>
      <c r="J69" s="51"/>
      <c r="K69" s="16"/>
      <c r="L69" s="8"/>
      <c r="M69" s="16"/>
      <c r="N69" s="16"/>
    </row>
    <row r="70" spans="1:14" x14ac:dyDescent="0.35">
      <c r="A70" s="177" t="s">
        <v>1</v>
      </c>
      <c r="B70" s="5"/>
      <c r="C70" s="50"/>
      <c r="D70" s="5" t="str">
        <f>VLOOKUP(A70,'MASTER AKUN'!A14:B69,2,FALSE)</f>
        <v xml:space="preserve">Penjualan </v>
      </c>
      <c r="E70" s="5"/>
      <c r="F70" s="53"/>
      <c r="G70" s="17">
        <v>28690000</v>
      </c>
      <c r="H70" s="216"/>
      <c r="I70" s="5"/>
      <c r="J70" s="53"/>
      <c r="K70" s="17"/>
      <c r="L70" s="41"/>
      <c r="M70" s="17"/>
      <c r="N70" s="17"/>
    </row>
    <row r="71" spans="1:14" x14ac:dyDescent="0.35">
      <c r="A71" s="177" t="s">
        <v>205</v>
      </c>
      <c r="B71" s="5"/>
      <c r="C71" s="50"/>
      <c r="D71" s="5" t="str">
        <f>VLOOKUP(A71,'MASTER AKUN'!A15:B70,2,FALSE)</f>
        <v>PPN Keluaran</v>
      </c>
      <c r="E71" s="5"/>
      <c r="F71" s="53"/>
      <c r="G71" s="17">
        <v>2869000</v>
      </c>
      <c r="H71" s="216"/>
      <c r="I71" s="5"/>
      <c r="J71" s="53"/>
      <c r="K71" s="17"/>
      <c r="L71" s="41"/>
      <c r="M71" s="17"/>
      <c r="N71" s="17"/>
    </row>
    <row r="72" spans="1:14" x14ac:dyDescent="0.35">
      <c r="A72" s="177" t="s">
        <v>3</v>
      </c>
      <c r="B72" s="5"/>
      <c r="C72" s="50"/>
      <c r="D72" s="5" t="str">
        <f>VLOOKUP(A72,'MASTER AKUN'!A16:B71,2,FALSE)</f>
        <v>Harga Pokok Penjualan</v>
      </c>
      <c r="E72" s="5"/>
      <c r="F72" s="53">
        <f>SUM(G73:G75)</f>
        <v>24250000</v>
      </c>
      <c r="G72" s="17"/>
      <c r="H72" s="216"/>
      <c r="I72" s="5"/>
      <c r="J72" s="53"/>
      <c r="K72" s="17"/>
      <c r="L72" s="41"/>
      <c r="M72" s="17"/>
      <c r="N72" s="17"/>
    </row>
    <row r="73" spans="1:14" x14ac:dyDescent="0.35">
      <c r="A73" s="177" t="s">
        <v>171</v>
      </c>
      <c r="B73" s="5"/>
      <c r="C73" s="50"/>
      <c r="D73" s="5" t="str">
        <f>VLOOKUP(A73,'MASTER AKUN'!A8:B63,2,FALSE)</f>
        <v>Persediaan Barang Dagangan</v>
      </c>
      <c r="E73" s="5"/>
      <c r="F73" s="53"/>
      <c r="G73" s="17">
        <v>11200000</v>
      </c>
      <c r="H73" s="216" t="s">
        <v>132</v>
      </c>
      <c r="I73" s="5"/>
      <c r="J73" s="53"/>
      <c r="K73" s="17"/>
      <c r="L73" s="41">
        <v>8</v>
      </c>
      <c r="M73" s="17">
        <v>1400000</v>
      </c>
      <c r="N73" s="17">
        <f>M73*L73</f>
        <v>11200000</v>
      </c>
    </row>
    <row r="74" spans="1:14" x14ac:dyDescent="0.35">
      <c r="A74" s="177" t="s">
        <v>171</v>
      </c>
      <c r="B74" s="5"/>
      <c r="C74" s="50"/>
      <c r="D74" s="5" t="str">
        <f>VLOOKUP(A74,'MASTER AKUN'!A9:B64,2,FALSE)</f>
        <v>Persediaan Barang Dagangan</v>
      </c>
      <c r="E74" s="5"/>
      <c r="F74" s="53"/>
      <c r="G74" s="17">
        <v>7800000</v>
      </c>
      <c r="H74" s="216" t="s">
        <v>147</v>
      </c>
      <c r="I74" s="5"/>
      <c r="J74" s="53"/>
      <c r="K74" s="17"/>
      <c r="L74" s="41">
        <v>6</v>
      </c>
      <c r="M74" s="17">
        <v>1300000</v>
      </c>
      <c r="N74" s="17">
        <f t="shared" ref="N74:N75" si="2">M74*L74</f>
        <v>7800000</v>
      </c>
    </row>
    <row r="75" spans="1:14" ht="15" thickBot="1" x14ac:dyDescent="0.4">
      <c r="A75" s="184" t="s">
        <v>171</v>
      </c>
      <c r="B75" s="6"/>
      <c r="C75" s="167"/>
      <c r="D75" s="6" t="str">
        <f>VLOOKUP(A75,'MASTER AKUN'!A10:B65,2,FALSE)</f>
        <v>Persediaan Barang Dagangan</v>
      </c>
      <c r="E75" s="6"/>
      <c r="F75" s="52"/>
      <c r="G75" s="18">
        <v>5250000</v>
      </c>
      <c r="H75" s="221" t="s">
        <v>148</v>
      </c>
      <c r="I75" s="6"/>
      <c r="J75" s="52"/>
      <c r="K75" s="18"/>
      <c r="L75" s="11">
        <v>3</v>
      </c>
      <c r="M75" s="18">
        <v>1750000</v>
      </c>
      <c r="N75" s="17">
        <f t="shared" si="2"/>
        <v>5250000</v>
      </c>
    </row>
    <row r="76" spans="1:14" x14ac:dyDescent="0.35">
      <c r="A76" s="176" t="s">
        <v>170</v>
      </c>
      <c r="B76" s="13"/>
      <c r="C76" s="81" t="s">
        <v>280</v>
      </c>
      <c r="D76" s="13" t="str">
        <f>VLOOKUP(A76,'MASTER AKUN'!A12:B67,2,FALSE)</f>
        <v>Piutang Karyawan</v>
      </c>
      <c r="E76" s="13"/>
      <c r="F76" s="51">
        <v>2500000</v>
      </c>
      <c r="G76" s="16"/>
      <c r="H76" s="220"/>
      <c r="I76" s="13"/>
      <c r="J76" s="51"/>
      <c r="K76" s="16"/>
      <c r="L76" s="8"/>
      <c r="M76" s="16"/>
      <c r="N76" s="16"/>
    </row>
    <row r="77" spans="1:14" ht="15" thickBot="1" x14ac:dyDescent="0.4">
      <c r="A77" s="184" t="s">
        <v>164</v>
      </c>
      <c r="B77" s="6"/>
      <c r="C77" s="167"/>
      <c r="D77" s="6" t="str">
        <f>VLOOKUP(A77,'MASTER AKUN'!A4:B59,2,FALSE)</f>
        <v>Bank BCA</v>
      </c>
      <c r="E77" s="6"/>
      <c r="F77" s="52"/>
      <c r="G77" s="18">
        <v>2500000</v>
      </c>
      <c r="H77" s="221"/>
      <c r="I77" s="6"/>
      <c r="J77" s="52"/>
      <c r="K77" s="18"/>
      <c r="L77" s="11"/>
      <c r="M77" s="18"/>
      <c r="N77" s="18"/>
    </row>
    <row r="78" spans="1:14" x14ac:dyDescent="0.35">
      <c r="A78" s="176" t="s">
        <v>199</v>
      </c>
      <c r="B78" s="13"/>
      <c r="C78" s="81" t="s">
        <v>281</v>
      </c>
      <c r="D78" s="13" t="str">
        <f>VLOOKUP(A78,'MASTER AKUN'!A24:B79,2,FALSE)</f>
        <v>Hutang Usaha</v>
      </c>
      <c r="E78" s="13" t="s">
        <v>158</v>
      </c>
      <c r="F78" s="51">
        <f>SUM(G79:G80)</f>
        <v>22000000</v>
      </c>
      <c r="G78" s="16"/>
      <c r="H78" s="220"/>
      <c r="I78" s="13"/>
      <c r="J78" s="51"/>
      <c r="K78" s="16"/>
      <c r="L78" s="8"/>
      <c r="M78" s="16"/>
      <c r="N78" s="16"/>
    </row>
    <row r="79" spans="1:14" x14ac:dyDescent="0.35">
      <c r="A79" s="177" t="s">
        <v>164</v>
      </c>
      <c r="B79" s="5"/>
      <c r="C79" s="50"/>
      <c r="D79" s="5" t="str">
        <f>VLOOKUP(A79,'MASTER AKUN'!A7:B62,2,FALSE)</f>
        <v>Bank BCA</v>
      </c>
      <c r="E79" s="5"/>
      <c r="F79" s="53"/>
      <c r="G79" s="17">
        <v>10000000</v>
      </c>
      <c r="H79" s="216"/>
      <c r="I79" s="5"/>
      <c r="J79" s="53"/>
      <c r="K79" s="17"/>
      <c r="L79" s="41"/>
      <c r="M79" s="17"/>
      <c r="N79" s="17"/>
    </row>
    <row r="80" spans="1:14" ht="15" thickBot="1" x14ac:dyDescent="0.4">
      <c r="A80" s="177" t="s">
        <v>165</v>
      </c>
      <c r="B80" s="6"/>
      <c r="C80" s="167"/>
      <c r="D80" s="6" t="str">
        <f>VLOOKUP(A80,'MASTER AKUN'!A8:B63,2,FALSE)</f>
        <v>Bank Mandiri</v>
      </c>
      <c r="E80" s="6"/>
      <c r="F80" s="52"/>
      <c r="G80" s="18">
        <v>12000000</v>
      </c>
      <c r="H80" s="221"/>
      <c r="I80" s="6"/>
      <c r="J80" s="52"/>
      <c r="K80" s="18"/>
      <c r="L80" s="11"/>
      <c r="M80" s="18"/>
      <c r="N80" s="18"/>
    </row>
    <row r="81" spans="1:14" x14ac:dyDescent="0.35">
      <c r="A81" s="179" t="s">
        <v>180</v>
      </c>
      <c r="B81" s="9"/>
      <c r="C81" s="81" t="s">
        <v>282</v>
      </c>
      <c r="D81" s="13" t="str">
        <f>VLOOKUP(A81,'MASTER AKUN'!A27:B82,2,FALSE)</f>
        <v xml:space="preserve">Beban pemasaran </v>
      </c>
      <c r="E81" s="13"/>
      <c r="F81" s="51">
        <v>750000</v>
      </c>
      <c r="G81" s="16"/>
      <c r="H81" s="220"/>
      <c r="I81" s="13"/>
      <c r="J81" s="51"/>
      <c r="K81" s="16"/>
      <c r="L81" s="8"/>
      <c r="M81" s="16"/>
      <c r="N81" s="16"/>
    </row>
    <row r="82" spans="1:14" x14ac:dyDescent="0.35">
      <c r="A82" s="185" t="s">
        <v>179</v>
      </c>
      <c r="B82" s="10"/>
      <c r="C82" s="50"/>
      <c r="D82" s="5" t="str">
        <f>VLOOKUP(A82,'MASTER AKUN'!A28:B83,2,FALSE)</f>
        <v>Beban Transportasi</v>
      </c>
      <c r="E82" s="5"/>
      <c r="F82" s="53">
        <v>250000</v>
      </c>
      <c r="G82" s="17"/>
      <c r="H82" s="216"/>
      <c r="I82" s="5"/>
      <c r="J82" s="53"/>
      <c r="K82" s="17"/>
      <c r="L82" s="41"/>
      <c r="M82" s="17"/>
      <c r="N82" s="17"/>
    </row>
    <row r="83" spans="1:14" x14ac:dyDescent="0.35">
      <c r="A83" s="188" t="s">
        <v>178</v>
      </c>
      <c r="B83" s="10"/>
      <c r="C83" s="50"/>
      <c r="D83" s="5" t="str">
        <f>VLOOKUP(A83,'MASTER AKUN'!A29:B84,2,FALSE)</f>
        <v>Beban Perawatan AC</v>
      </c>
      <c r="E83" s="5"/>
      <c r="F83" s="53">
        <v>200000</v>
      </c>
      <c r="G83" s="17"/>
      <c r="H83" s="216"/>
      <c r="I83" s="5"/>
      <c r="J83" s="53"/>
      <c r="K83" s="17"/>
      <c r="L83" s="41"/>
      <c r="M83" s="17"/>
      <c r="N83" s="17"/>
    </row>
    <row r="84" spans="1:14" x14ac:dyDescent="0.35">
      <c r="A84" s="188" t="s">
        <v>177</v>
      </c>
      <c r="B84" s="10"/>
      <c r="C84" s="50"/>
      <c r="D84" s="5" t="str">
        <f>VLOOKUP(A84,'MASTER AKUN'!A30:B85,2,FALSE)</f>
        <v>Beban Perlengkapan Kantor</v>
      </c>
      <c r="E84" s="5"/>
      <c r="F84" s="53">
        <v>50000</v>
      </c>
      <c r="G84" s="17"/>
      <c r="H84" s="216"/>
      <c r="I84" s="5"/>
      <c r="J84" s="53"/>
      <c r="K84" s="17"/>
      <c r="L84" s="41"/>
      <c r="M84" s="17"/>
      <c r="N84" s="17"/>
    </row>
    <row r="85" spans="1:14" ht="15" thickBot="1" x14ac:dyDescent="0.4">
      <c r="A85" s="181" t="s">
        <v>164</v>
      </c>
      <c r="B85" s="12"/>
      <c r="C85" s="167"/>
      <c r="D85" s="6" t="str">
        <f>VLOOKUP(A85,'MASTER AKUN'!A4:B59,2,FALSE)</f>
        <v>Bank BCA</v>
      </c>
      <c r="E85" s="6"/>
      <c r="F85" s="52"/>
      <c r="G85" s="18">
        <f>SUM(F81:F84)</f>
        <v>1250000</v>
      </c>
      <c r="H85" s="221"/>
      <c r="I85" s="6"/>
      <c r="J85" s="52"/>
      <c r="K85" s="18"/>
      <c r="L85" s="11"/>
      <c r="M85" s="18"/>
      <c r="N85" s="18"/>
    </row>
    <row r="86" spans="1:14" x14ac:dyDescent="0.35">
      <c r="A86" s="162" t="s">
        <v>162</v>
      </c>
      <c r="B86" s="9"/>
      <c r="C86" s="81" t="s">
        <v>283</v>
      </c>
      <c r="D86" s="13" t="str">
        <f>VLOOKUP(A86,'MASTER AKUN'!A4:B59,2,FALSE)</f>
        <v>Kas Di Tangan</v>
      </c>
      <c r="E86" s="13"/>
      <c r="F86" s="51">
        <v>5500000</v>
      </c>
      <c r="G86" s="16"/>
      <c r="H86" s="220"/>
      <c r="I86" s="13"/>
      <c r="J86" s="51"/>
      <c r="K86" s="16"/>
      <c r="L86" s="8"/>
      <c r="M86" s="16"/>
      <c r="N86" s="16"/>
    </row>
    <row r="87" spans="1:14" x14ac:dyDescent="0.35">
      <c r="A87" s="189" t="s">
        <v>197</v>
      </c>
      <c r="B87" s="10"/>
      <c r="C87" s="50"/>
      <c r="D87" s="5" t="str">
        <f>VLOOKUP(A87,'MASTER AKUN'!A5:B60,2,FALSE)</f>
        <v>Akumulasi Penyusutan Kendaraan</v>
      </c>
      <c r="E87" s="5"/>
      <c r="F87" s="53">
        <v>1500000</v>
      </c>
      <c r="G87" s="17"/>
      <c r="H87" s="216"/>
      <c r="I87" s="5"/>
      <c r="J87" s="53"/>
      <c r="K87" s="17"/>
      <c r="L87" s="41"/>
      <c r="M87" s="17"/>
      <c r="N87" s="17"/>
    </row>
    <row r="88" spans="1:14" x14ac:dyDescent="0.35">
      <c r="A88" s="171" t="s">
        <v>175</v>
      </c>
      <c r="B88" s="10"/>
      <c r="C88" s="50"/>
      <c r="D88" s="5" t="str">
        <f>VLOOKUP(A88,'MASTER AKUN'!A6:B61,2,FALSE)</f>
        <v>Laba Penjualan Aktiva Tetap</v>
      </c>
      <c r="E88" s="5"/>
      <c r="F88" s="53"/>
      <c r="G88" s="17">
        <v>1000000</v>
      </c>
      <c r="H88" s="216"/>
      <c r="I88" s="5"/>
      <c r="J88" s="53"/>
      <c r="K88" s="17"/>
      <c r="L88" s="41"/>
      <c r="M88" s="17"/>
      <c r="N88" s="17"/>
    </row>
    <row r="89" spans="1:14" ht="15" thickBot="1" x14ac:dyDescent="0.4">
      <c r="A89" s="190" t="s">
        <v>196</v>
      </c>
      <c r="B89" s="12"/>
      <c r="C89" s="167"/>
      <c r="D89" s="6" t="str">
        <f>VLOOKUP(A89,'MASTER AKUN'!A7:B62,2,FALSE)</f>
        <v>Kendaraan</v>
      </c>
      <c r="E89" s="6"/>
      <c r="F89" s="52"/>
      <c r="G89" s="18">
        <v>6000000</v>
      </c>
      <c r="H89" s="221"/>
      <c r="I89" s="6"/>
      <c r="J89" s="52"/>
      <c r="K89" s="18"/>
      <c r="L89" s="11"/>
      <c r="M89" s="18"/>
      <c r="N89" s="18"/>
    </row>
    <row r="90" spans="1:14" x14ac:dyDescent="0.35">
      <c r="A90" s="162" t="s">
        <v>162</v>
      </c>
      <c r="B90" s="9"/>
      <c r="C90" s="81" t="s">
        <v>284</v>
      </c>
      <c r="D90" s="13" t="str">
        <f>VLOOKUP(A90,'MASTER AKUN'!A4:B59,2,FALSE)</f>
        <v>Kas Di Tangan</v>
      </c>
      <c r="E90" s="13"/>
      <c r="F90" s="51">
        <f>SUM(G91:G93)</f>
        <v>29729500</v>
      </c>
      <c r="G90" s="16"/>
      <c r="H90" s="220"/>
      <c r="I90" s="13"/>
      <c r="J90" s="51"/>
      <c r="K90" s="16"/>
      <c r="L90" s="8"/>
      <c r="M90" s="16"/>
      <c r="N90" s="16"/>
    </row>
    <row r="91" spans="1:14" x14ac:dyDescent="0.35">
      <c r="A91" s="185" t="s">
        <v>200</v>
      </c>
      <c r="B91" s="10"/>
      <c r="C91" s="50"/>
      <c r="D91" s="5" t="str">
        <f>VLOOKUP(A91,'MASTER AKUN'!A10:B65,2,FALSE)</f>
        <v>Pendapatan Diterima Dimuka-Jasa Kirim</v>
      </c>
      <c r="E91" s="5"/>
      <c r="F91" s="53"/>
      <c r="G91" s="17">
        <v>200000</v>
      </c>
      <c r="H91" s="216"/>
      <c r="I91" s="5"/>
      <c r="J91" s="53"/>
      <c r="K91" s="17"/>
      <c r="L91" s="41"/>
      <c r="M91" s="17"/>
      <c r="N91" s="17"/>
    </row>
    <row r="92" spans="1:14" x14ac:dyDescent="0.35">
      <c r="A92" s="185" t="s">
        <v>1</v>
      </c>
      <c r="B92" s="10"/>
      <c r="C92" s="50"/>
      <c r="D92" s="5" t="str">
        <f>VLOOKUP(A92,'MASTER AKUN'!A11:B66,2,FALSE)</f>
        <v xml:space="preserve">Penjualan </v>
      </c>
      <c r="E92" s="5"/>
      <c r="F92" s="53"/>
      <c r="G92" s="17">
        <v>26845000</v>
      </c>
      <c r="H92" s="216"/>
      <c r="I92" s="5"/>
      <c r="J92" s="53"/>
      <c r="K92" s="17"/>
      <c r="L92" s="41"/>
      <c r="M92" s="17"/>
      <c r="N92" s="17"/>
    </row>
    <row r="93" spans="1:14" x14ac:dyDescent="0.35">
      <c r="A93" s="185" t="s">
        <v>205</v>
      </c>
      <c r="B93" s="10"/>
      <c r="C93" s="50"/>
      <c r="D93" s="5" t="str">
        <f>VLOOKUP(A93,'MASTER AKUN'!A4:B59,2,FALSE)</f>
        <v>PPN Keluaran</v>
      </c>
      <c r="E93" s="5"/>
      <c r="F93" s="53"/>
      <c r="G93" s="17">
        <v>2684500</v>
      </c>
      <c r="H93" s="216"/>
      <c r="I93" s="5"/>
      <c r="J93" s="53"/>
      <c r="K93" s="17"/>
      <c r="L93" s="41"/>
      <c r="M93" s="17"/>
      <c r="N93" s="17"/>
    </row>
    <row r="94" spans="1:14" x14ac:dyDescent="0.35">
      <c r="A94" s="185" t="s">
        <v>3</v>
      </c>
      <c r="B94" s="10"/>
      <c r="C94" s="50"/>
      <c r="D94" s="5" t="str">
        <f>VLOOKUP(A94,'MASTER AKUN'!A13:B68,2,FALSE)</f>
        <v>Harga Pokok Penjualan</v>
      </c>
      <c r="E94" s="5"/>
      <c r="F94" s="53">
        <f>SUM(G95:G96)</f>
        <v>23375000</v>
      </c>
      <c r="G94" s="17"/>
      <c r="H94" s="216"/>
      <c r="I94" s="5"/>
      <c r="J94" s="53"/>
      <c r="K94" s="17"/>
      <c r="L94" s="41"/>
      <c r="M94" s="17"/>
      <c r="N94" s="17"/>
    </row>
    <row r="95" spans="1:14" x14ac:dyDescent="0.35">
      <c r="A95" s="185" t="s">
        <v>171</v>
      </c>
      <c r="B95" s="10"/>
      <c r="C95" s="50"/>
      <c r="D95" s="5" t="str">
        <f>VLOOKUP(A95,'MASTER AKUN'!A14:B69,2,FALSE)</f>
        <v>Persediaan Barang Dagangan</v>
      </c>
      <c r="E95" s="5"/>
      <c r="F95" s="53"/>
      <c r="G95" s="17">
        <v>12000000</v>
      </c>
      <c r="H95" s="216" t="s">
        <v>130</v>
      </c>
      <c r="I95" s="5"/>
      <c r="J95" s="53"/>
      <c r="K95" s="17"/>
      <c r="L95" s="41">
        <v>10</v>
      </c>
      <c r="M95" s="17">
        <v>1200000</v>
      </c>
      <c r="N95" s="17">
        <f>M95*L95</f>
        <v>12000000</v>
      </c>
    </row>
    <row r="96" spans="1:14" ht="15" thickBot="1" x14ac:dyDescent="0.4">
      <c r="A96" s="185" t="s">
        <v>171</v>
      </c>
      <c r="B96" s="10"/>
      <c r="C96" s="50"/>
      <c r="D96" s="5" t="str">
        <f>VLOOKUP(A96,'MASTER AKUN'!A15:B70,2,FALSE)</f>
        <v>Persediaan Barang Dagangan</v>
      </c>
      <c r="E96" s="5"/>
      <c r="F96" s="53"/>
      <c r="G96" s="17">
        <v>11375000</v>
      </c>
      <c r="H96" s="216" t="s">
        <v>131</v>
      </c>
      <c r="I96" s="5"/>
      <c r="J96" s="53"/>
      <c r="K96" s="17"/>
      <c r="L96" s="41">
        <v>35</v>
      </c>
      <c r="M96" s="17">
        <v>325000</v>
      </c>
      <c r="N96" s="17">
        <f>M96*L96</f>
        <v>11375000</v>
      </c>
    </row>
    <row r="97" spans="1:14" x14ac:dyDescent="0.35">
      <c r="A97" s="191" t="s">
        <v>162</v>
      </c>
      <c r="B97" s="13"/>
      <c r="C97" s="81" t="s">
        <v>286</v>
      </c>
      <c r="D97" s="13" t="str">
        <f>VLOOKUP(A97,'MASTER AKUN'!A4:B59,2,FALSE)</f>
        <v>Kas Di Tangan</v>
      </c>
      <c r="E97" s="13"/>
      <c r="F97" s="51">
        <v>500000</v>
      </c>
      <c r="G97" s="16"/>
      <c r="H97" s="220"/>
      <c r="I97" s="13"/>
      <c r="J97" s="51"/>
      <c r="K97" s="16"/>
      <c r="L97" s="8"/>
      <c r="M97" s="16"/>
      <c r="N97" s="16"/>
    </row>
    <row r="98" spans="1:14" ht="15" thickBot="1" x14ac:dyDescent="0.4">
      <c r="A98" s="178" t="s">
        <v>170</v>
      </c>
      <c r="B98" s="6"/>
      <c r="C98" s="167"/>
      <c r="D98" s="6" t="str">
        <f>VLOOKUP(A98,'MASTER AKUN'!A5:B60,2,FALSE)</f>
        <v>Piutang Karyawan</v>
      </c>
      <c r="E98" s="6"/>
      <c r="F98" s="52"/>
      <c r="G98" s="18">
        <v>500000</v>
      </c>
      <c r="H98" s="221"/>
      <c r="I98" s="6"/>
      <c r="J98" s="52"/>
      <c r="K98" s="18"/>
      <c r="L98" s="11"/>
      <c r="M98" s="18"/>
      <c r="N98" s="18"/>
    </row>
    <row r="99" spans="1:14" x14ac:dyDescent="0.35">
      <c r="A99" s="191" t="s">
        <v>186</v>
      </c>
      <c r="B99" s="13"/>
      <c r="C99" s="81" t="s">
        <v>285</v>
      </c>
      <c r="D99" s="13" t="str">
        <f>VLOOKUP(A99,'MASTER AKUN'!A6:B61,2,FALSE)</f>
        <v>Beban Gaji Karyawan</v>
      </c>
      <c r="E99" s="13"/>
      <c r="F99" s="51">
        <f>SUM(G100:G101)</f>
        <v>14500000</v>
      </c>
      <c r="G99" s="16"/>
      <c r="H99" s="220"/>
      <c r="I99" s="13"/>
      <c r="J99" s="51"/>
      <c r="K99" s="16"/>
      <c r="L99" s="8"/>
      <c r="M99" s="16"/>
      <c r="N99" s="16"/>
    </row>
    <row r="100" spans="1:14" x14ac:dyDescent="0.35">
      <c r="A100" s="173" t="s">
        <v>203</v>
      </c>
      <c r="B100" s="5"/>
      <c r="C100" s="50"/>
      <c r="D100" s="5" t="str">
        <f>VLOOKUP(A100,'MASTER AKUN'!A7:B62,2,FALSE)</f>
        <v>Utang PPh pasal 21</v>
      </c>
      <c r="E100" s="5"/>
      <c r="F100" s="53"/>
      <c r="G100" s="17">
        <v>725000</v>
      </c>
      <c r="H100" s="216"/>
      <c r="I100" s="5"/>
      <c r="J100" s="53"/>
      <c r="K100" s="17"/>
      <c r="L100" s="41"/>
      <c r="M100" s="17"/>
      <c r="N100" s="17"/>
    </row>
    <row r="101" spans="1:14" ht="15" thickBot="1" x14ac:dyDescent="0.4">
      <c r="A101" s="184" t="s">
        <v>164</v>
      </c>
      <c r="B101" s="6"/>
      <c r="C101" s="167"/>
      <c r="D101" s="6" t="str">
        <f>VLOOKUP(A101,'MASTER AKUN'!A8:B63,2,FALSE)</f>
        <v>Bank BCA</v>
      </c>
      <c r="E101" s="6"/>
      <c r="F101" s="52"/>
      <c r="G101" s="18">
        <v>13775000</v>
      </c>
      <c r="H101" s="221"/>
      <c r="I101" s="6"/>
      <c r="J101" s="52"/>
      <c r="K101" s="18"/>
      <c r="L101" s="11"/>
      <c r="M101" s="18"/>
      <c r="N101" s="18"/>
    </row>
    <row r="102" spans="1:14" ht="15" thickBot="1" x14ac:dyDescent="0.4">
      <c r="A102" s="192"/>
      <c r="B102" s="75"/>
      <c r="C102" s="168"/>
      <c r="D102" s="75"/>
      <c r="E102" s="75"/>
      <c r="F102" s="159">
        <f>SUM(F5:F101)</f>
        <v>472502250</v>
      </c>
      <c r="G102" s="160">
        <f>SUM(G5:G101)</f>
        <v>472502250</v>
      </c>
      <c r="H102" s="222"/>
      <c r="I102" s="75"/>
      <c r="J102" s="159"/>
      <c r="K102" s="160"/>
      <c r="L102" s="161"/>
      <c r="M102" s="160"/>
      <c r="N102" s="160"/>
    </row>
    <row r="103" spans="1:14" x14ac:dyDescent="0.35">
      <c r="A103" s="193"/>
      <c r="B103" s="41"/>
      <c r="C103" s="50"/>
      <c r="D103" s="41"/>
      <c r="E103" s="41"/>
      <c r="F103" s="53"/>
      <c r="G103" s="53"/>
      <c r="H103" s="216"/>
      <c r="I103" s="41"/>
      <c r="J103" s="53"/>
      <c r="K103" s="53"/>
      <c r="L103" s="41"/>
      <c r="M103" s="53"/>
      <c r="N103" s="53"/>
    </row>
    <row r="104" spans="1:14" x14ac:dyDescent="0.35">
      <c r="A104" s="193"/>
      <c r="B104" s="41"/>
      <c r="C104" s="50"/>
      <c r="D104" s="41"/>
      <c r="E104" s="41"/>
      <c r="F104" s="53"/>
      <c r="G104" s="53"/>
      <c r="H104" s="216"/>
      <c r="I104" s="41"/>
      <c r="J104" s="53"/>
      <c r="K104" s="53"/>
      <c r="L104" s="41"/>
      <c r="M104" s="53"/>
      <c r="N104" s="53"/>
    </row>
    <row r="105" spans="1:14" x14ac:dyDescent="0.35">
      <c r="A105" s="193"/>
      <c r="B105" s="41"/>
      <c r="C105" s="50"/>
      <c r="D105" s="41"/>
      <c r="E105" s="41"/>
      <c r="F105" s="53"/>
      <c r="G105" s="53"/>
      <c r="H105" s="216"/>
      <c r="I105" s="41"/>
      <c r="J105" s="53"/>
      <c r="K105" s="53"/>
      <c r="L105" s="41"/>
      <c r="M105" s="53"/>
      <c r="N105" s="53"/>
    </row>
    <row r="106" spans="1:14" x14ac:dyDescent="0.35">
      <c r="A106" s="193"/>
      <c r="B106" s="41"/>
      <c r="C106" s="50"/>
      <c r="D106" s="41"/>
      <c r="E106" s="41"/>
      <c r="F106" s="53"/>
      <c r="G106" s="53"/>
      <c r="H106" s="216"/>
      <c r="I106" s="41"/>
      <c r="J106" s="53"/>
      <c r="K106" s="53"/>
      <c r="L106" s="41"/>
      <c r="M106" s="53"/>
      <c r="N106" s="53"/>
    </row>
    <row r="107" spans="1:14" x14ac:dyDescent="0.35">
      <c r="A107" s="193"/>
      <c r="B107" s="41"/>
      <c r="C107" s="50"/>
      <c r="D107" s="41"/>
      <c r="E107" s="41"/>
      <c r="F107" s="53"/>
      <c r="G107" s="53"/>
      <c r="H107" s="216"/>
      <c r="I107" s="41"/>
      <c r="J107" s="53"/>
      <c r="K107" s="53"/>
      <c r="L107" s="41"/>
      <c r="M107" s="53"/>
      <c r="N107" s="53"/>
    </row>
    <row r="108" spans="1:14" x14ac:dyDescent="0.35">
      <c r="A108" s="193"/>
      <c r="B108" s="41"/>
      <c r="C108" s="50"/>
      <c r="D108" s="41"/>
      <c r="E108" s="41"/>
      <c r="F108" s="53"/>
      <c r="G108" s="53"/>
      <c r="H108" s="216"/>
      <c r="I108" s="41"/>
      <c r="J108" s="53"/>
      <c r="K108" s="53"/>
      <c r="L108" s="41"/>
      <c r="M108" s="53"/>
      <c r="N108" s="53"/>
    </row>
    <row r="109" spans="1:14" x14ac:dyDescent="0.35">
      <c r="A109" s="193"/>
      <c r="B109" s="41"/>
      <c r="C109" s="50"/>
      <c r="D109" s="41"/>
      <c r="E109" s="41"/>
      <c r="F109" s="53"/>
      <c r="G109" s="53"/>
      <c r="H109" s="216"/>
      <c r="I109" s="41"/>
      <c r="J109" s="53"/>
      <c r="K109" s="53"/>
      <c r="L109" s="41"/>
      <c r="M109" s="53"/>
      <c r="N109" s="53"/>
    </row>
  </sheetData>
  <mergeCells count="11">
    <mergeCell ref="A1:N1"/>
    <mergeCell ref="A2:N2"/>
    <mergeCell ref="A3:A4"/>
    <mergeCell ref="B3:B4"/>
    <mergeCell ref="C3:C4"/>
    <mergeCell ref="I3:K3"/>
    <mergeCell ref="L3:N3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showGridLines="0" topLeftCell="A381" workbookViewId="0">
      <selection activeCell="F10" sqref="F10"/>
    </sheetView>
  </sheetViews>
  <sheetFormatPr defaultColWidth="9.1796875" defaultRowHeight="14.5" x14ac:dyDescent="0.35"/>
  <cols>
    <col min="1" max="1" width="17.54296875" style="32" customWidth="1"/>
    <col min="2" max="2" width="16.54296875" style="32" bestFit="1" customWidth="1"/>
    <col min="3" max="3" width="15.26953125" style="32" bestFit="1" customWidth="1"/>
    <col min="4" max="4" width="4.1796875" style="32" bestFit="1" customWidth="1"/>
    <col min="5" max="5" width="14.26953125" style="106" customWidth="1"/>
    <col min="6" max="6" width="14.6328125" style="106" customWidth="1"/>
    <col min="7" max="7" width="14.54296875" style="106" customWidth="1"/>
    <col min="8" max="8" width="16.1796875" style="106" customWidth="1"/>
    <col min="9" max="16384" width="9.1796875" style="32"/>
  </cols>
  <sheetData>
    <row r="1" spans="1:8" x14ac:dyDescent="0.35">
      <c r="A1" s="58" t="s">
        <v>69</v>
      </c>
      <c r="B1" s="58"/>
      <c r="C1" s="58"/>
      <c r="D1" s="58"/>
      <c r="E1" s="58"/>
      <c r="F1" s="58"/>
      <c r="G1" s="58"/>
      <c r="H1" s="58"/>
    </row>
    <row r="2" spans="1:8" x14ac:dyDescent="0.35">
      <c r="A2" s="58" t="s">
        <v>41</v>
      </c>
      <c r="B2" s="58"/>
      <c r="C2" s="58"/>
      <c r="D2" s="58"/>
      <c r="E2" s="58"/>
      <c r="F2" s="58"/>
      <c r="G2" s="58"/>
      <c r="H2" s="58"/>
    </row>
    <row r="3" spans="1:8" x14ac:dyDescent="0.35">
      <c r="A3" s="36"/>
      <c r="B3" s="36"/>
      <c r="C3" s="36"/>
      <c r="D3" s="36"/>
      <c r="E3" s="224"/>
      <c r="F3" s="224"/>
      <c r="G3" s="224"/>
      <c r="H3" s="224"/>
    </row>
    <row r="4" spans="1:8" x14ac:dyDescent="0.35">
      <c r="A4" s="32" t="s">
        <v>39</v>
      </c>
      <c r="C4" s="32" t="s">
        <v>163</v>
      </c>
    </row>
    <row r="5" spans="1:8" x14ac:dyDescent="0.35">
      <c r="A5" s="32" t="s">
        <v>40</v>
      </c>
      <c r="C5" s="32" t="str">
        <f>VLOOKUP(C4,'MASTER AKUN'!A4:E62,2,)</f>
        <v>Kas Kecil</v>
      </c>
    </row>
    <row r="7" spans="1:8" x14ac:dyDescent="0.35">
      <c r="A7" s="202" t="s">
        <v>19</v>
      </c>
      <c r="B7" s="202" t="s">
        <v>36</v>
      </c>
      <c r="C7" s="204" t="s">
        <v>37</v>
      </c>
      <c r="D7" s="206" t="s">
        <v>8</v>
      </c>
      <c r="E7" s="225" t="s">
        <v>9</v>
      </c>
      <c r="F7" s="226" t="s">
        <v>10</v>
      </c>
      <c r="G7" s="227" t="s">
        <v>38</v>
      </c>
      <c r="H7" s="228"/>
    </row>
    <row r="8" spans="1:8" x14ac:dyDescent="0.35">
      <c r="A8" s="203"/>
      <c r="B8" s="203"/>
      <c r="C8" s="205"/>
      <c r="D8" s="207"/>
      <c r="E8" s="229"/>
      <c r="F8" s="230"/>
      <c r="G8" s="231" t="s">
        <v>9</v>
      </c>
      <c r="H8" s="114" t="s">
        <v>10</v>
      </c>
    </row>
    <row r="9" spans="1:8" x14ac:dyDescent="0.35">
      <c r="A9" s="201">
        <v>39052</v>
      </c>
      <c r="B9" s="194"/>
      <c r="C9" s="194" t="s">
        <v>35</v>
      </c>
      <c r="D9" s="197"/>
      <c r="E9" s="232"/>
      <c r="F9" s="233"/>
      <c r="G9" s="234">
        <f>VLOOKUP(C4,'MASTER AKUN'!A4:E59,4,FALSE)</f>
        <v>750000</v>
      </c>
      <c r="H9" s="235">
        <f>VLOOKUP(C4,'MASTER AKUN'!A4:E59,5,FALSE)</f>
        <v>0</v>
      </c>
    </row>
    <row r="10" spans="1:8" x14ac:dyDescent="0.35">
      <c r="A10" s="199">
        <v>39082</v>
      </c>
      <c r="B10" s="196"/>
      <c r="C10" s="196" t="s">
        <v>291</v>
      </c>
      <c r="D10" s="198"/>
      <c r="E10" s="234">
        <f ca="1">SUMIF('JURNAL UMUM'!A5:$G$101,'BUKU BESAR'!C4,'JURNAL UMUM'!$F$5:$F$101)</f>
        <v>0</v>
      </c>
      <c r="F10" s="234">
        <f ca="1">SUMIF('JURNAL UMUM'!$A$5:$G$101,'BUKU BESAR'!C4,'JURNAL UMUM'!$G$5:$G$101)</f>
        <v>0</v>
      </c>
      <c r="G10" s="234">
        <f ca="1">G9+E10</f>
        <v>750000</v>
      </c>
      <c r="H10" s="236">
        <f ca="1">IF(H9+F10&gt;G9+E10,((H9+F10)-(G9+E10)),0)</f>
        <v>0</v>
      </c>
    </row>
    <row r="12" spans="1:8" x14ac:dyDescent="0.35">
      <c r="A12" s="32" t="s">
        <v>39</v>
      </c>
      <c r="C12" s="32" t="s">
        <v>164</v>
      </c>
    </row>
    <row r="13" spans="1:8" x14ac:dyDescent="0.35">
      <c r="A13" s="32" t="s">
        <v>40</v>
      </c>
      <c r="C13" s="32" t="str">
        <f>VLOOKUP(C12,'MASTER AKUN'!A4:B59,2,FALSE)</f>
        <v>Bank BCA</v>
      </c>
    </row>
    <row r="15" spans="1:8" x14ac:dyDescent="0.35">
      <c r="A15" s="102" t="s">
        <v>19</v>
      </c>
      <c r="B15" s="102" t="s">
        <v>36</v>
      </c>
      <c r="C15" s="102" t="s">
        <v>37</v>
      </c>
      <c r="D15" s="102" t="s">
        <v>8</v>
      </c>
      <c r="E15" s="114" t="s">
        <v>9</v>
      </c>
      <c r="F15" s="114" t="s">
        <v>10</v>
      </c>
      <c r="G15" s="228" t="s">
        <v>38</v>
      </c>
      <c r="H15" s="228"/>
    </row>
    <row r="16" spans="1:8" x14ac:dyDescent="0.35">
      <c r="A16" s="102"/>
      <c r="B16" s="102"/>
      <c r="C16" s="102"/>
      <c r="D16" s="102"/>
      <c r="E16" s="114"/>
      <c r="F16" s="114"/>
      <c r="G16" s="114" t="s">
        <v>9</v>
      </c>
      <c r="H16" s="114" t="s">
        <v>10</v>
      </c>
    </row>
    <row r="17" spans="1:8" x14ac:dyDescent="0.35">
      <c r="A17" s="199">
        <v>39052</v>
      </c>
      <c r="B17" s="196"/>
      <c r="C17" s="196" t="s">
        <v>35</v>
      </c>
      <c r="D17" s="198"/>
      <c r="E17" s="237"/>
      <c r="F17" s="238"/>
      <c r="G17" s="234">
        <f>VLOOKUP(C12,'MASTER AKUN'!A4:E59,4,FALSE)</f>
        <v>45000000</v>
      </c>
      <c r="H17" s="235">
        <f>VLOOKUP(C12,'MASTER AKUN'!A4:E59,5,FALSE)</f>
        <v>0</v>
      </c>
    </row>
    <row r="18" spans="1:8" x14ac:dyDescent="0.35">
      <c r="A18" s="195">
        <v>39082</v>
      </c>
      <c r="B18" s="196"/>
      <c r="C18" s="196" t="s">
        <v>291</v>
      </c>
      <c r="D18" s="198"/>
      <c r="E18" s="234">
        <f ca="1">SUMIF('JURNAL UMUM'!$A$5:$G$101,'BUKU BESAR'!C12,'JURNAL UMUM'!$F$5:$F$101)</f>
        <v>44700000</v>
      </c>
      <c r="F18" s="234">
        <f ca="1">SUMIF('JURNAL UMUM'!$A$5:$G$101,'BUKU BESAR'!C12,'JURNAL UMUM'!$G$5:$G$101)</f>
        <v>45025000</v>
      </c>
      <c r="G18" s="234">
        <f ca="1">IF(G17+E18&gt;H17+F18,((G17+E18)-(H17+F18)),0)</f>
        <v>44675000</v>
      </c>
      <c r="H18" s="236">
        <f ca="1">IF(H17+F18&gt;G17+E18,((H17+F18)-(G17+E18)),0)</f>
        <v>0</v>
      </c>
    </row>
    <row r="20" spans="1:8" x14ac:dyDescent="0.35">
      <c r="A20" s="32" t="s">
        <v>39</v>
      </c>
      <c r="C20" s="32" t="s">
        <v>165</v>
      </c>
    </row>
    <row r="21" spans="1:8" x14ac:dyDescent="0.35">
      <c r="A21" s="32" t="s">
        <v>40</v>
      </c>
      <c r="C21" s="32" t="str">
        <f>VLOOKUP(C20,'MASTER AKUN'!A4:B59,2,FALSE)</f>
        <v>Bank Mandiri</v>
      </c>
    </row>
    <row r="23" spans="1:8" x14ac:dyDescent="0.35">
      <c r="A23" s="102" t="s">
        <v>19</v>
      </c>
      <c r="B23" s="102" t="s">
        <v>36</v>
      </c>
      <c r="C23" s="102" t="s">
        <v>37</v>
      </c>
      <c r="D23" s="102" t="s">
        <v>8</v>
      </c>
      <c r="E23" s="114" t="s">
        <v>9</v>
      </c>
      <c r="F23" s="114" t="s">
        <v>10</v>
      </c>
      <c r="G23" s="228" t="s">
        <v>38</v>
      </c>
      <c r="H23" s="228"/>
    </row>
    <row r="24" spans="1:8" x14ac:dyDescent="0.35">
      <c r="A24" s="102"/>
      <c r="B24" s="102"/>
      <c r="C24" s="102"/>
      <c r="D24" s="102"/>
      <c r="E24" s="114"/>
      <c r="F24" s="114"/>
      <c r="G24" s="114" t="s">
        <v>9</v>
      </c>
      <c r="H24" s="114" t="s">
        <v>10</v>
      </c>
    </row>
    <row r="25" spans="1:8" x14ac:dyDescent="0.35">
      <c r="A25" s="199">
        <v>39052</v>
      </c>
      <c r="B25" s="196"/>
      <c r="C25" s="196" t="s">
        <v>35</v>
      </c>
      <c r="D25" s="198"/>
      <c r="E25" s="237"/>
      <c r="F25" s="238"/>
      <c r="G25" s="234">
        <f>VLOOKUP(C20,'MASTER AKUN'!A4:D33,4,FALSE)</f>
        <v>25000000</v>
      </c>
      <c r="H25" s="235">
        <f>VLOOKUP(C20,'MASTER AKUN'!A4:E50,5,FALSE)</f>
        <v>0</v>
      </c>
    </row>
    <row r="26" spans="1:8" x14ac:dyDescent="0.35">
      <c r="A26" s="195">
        <v>39082</v>
      </c>
      <c r="B26" s="196"/>
      <c r="C26" s="196" t="s">
        <v>291</v>
      </c>
      <c r="D26" s="198"/>
      <c r="E26" s="234">
        <f ca="1">SUMIF('JURNAL UMUM'!$A$5:$G$101,'BUKU BESAR'!C20,'JURNAL UMUM'!$F$5:$F$101)</f>
        <v>73409000</v>
      </c>
      <c r="F26" s="234">
        <f ca="1">SUMIF('JURNAL UMUM'!$A$5:$G$101,'BUKU BESAR'!C20,'JURNAL UMUM'!$G$5:$G$101)</f>
        <v>44887500</v>
      </c>
      <c r="G26" s="234">
        <f ca="1">IF(G25+E26&gt;H25+F26,((G25+E26)-(H25+F26)),0)</f>
        <v>53521500</v>
      </c>
      <c r="H26" s="236">
        <f ca="1">IF(H25+F26&gt;G25+E26,((H25+F26)-(G25+E26)),0)</f>
        <v>0</v>
      </c>
    </row>
    <row r="28" spans="1:8" x14ac:dyDescent="0.35">
      <c r="A28" s="32" t="s">
        <v>39</v>
      </c>
      <c r="C28" s="32" t="s">
        <v>167</v>
      </c>
    </row>
    <row r="29" spans="1:8" x14ac:dyDescent="0.35">
      <c r="A29" s="32" t="s">
        <v>40</v>
      </c>
      <c r="C29" s="32" t="str">
        <f>VLOOKUP(C28,'MASTER AKUN'!A4:B59,2,FALSE)</f>
        <v>Piutang Usaha</v>
      </c>
    </row>
    <row r="31" spans="1:8" x14ac:dyDescent="0.35">
      <c r="A31" s="102" t="s">
        <v>19</v>
      </c>
      <c r="B31" s="102" t="s">
        <v>36</v>
      </c>
      <c r="C31" s="102" t="s">
        <v>37</v>
      </c>
      <c r="D31" s="102" t="s">
        <v>8</v>
      </c>
      <c r="E31" s="114" t="s">
        <v>9</v>
      </c>
      <c r="F31" s="114" t="s">
        <v>10</v>
      </c>
      <c r="G31" s="228" t="s">
        <v>38</v>
      </c>
      <c r="H31" s="228"/>
    </row>
    <row r="32" spans="1:8" x14ac:dyDescent="0.35">
      <c r="A32" s="102"/>
      <c r="B32" s="102"/>
      <c r="C32" s="102"/>
      <c r="D32" s="102"/>
      <c r="E32" s="114"/>
      <c r="F32" s="114"/>
      <c r="G32" s="114" t="s">
        <v>9</v>
      </c>
      <c r="H32" s="114" t="s">
        <v>10</v>
      </c>
    </row>
    <row r="33" spans="1:8" x14ac:dyDescent="0.35">
      <c r="A33" s="199">
        <v>39052</v>
      </c>
      <c r="B33" s="196"/>
      <c r="C33" s="196" t="s">
        <v>35</v>
      </c>
      <c r="D33" s="198"/>
      <c r="E33" s="237"/>
      <c r="F33" s="238"/>
      <c r="G33" s="234">
        <f>VLOOKUP(C28,'MASTER AKUN'!A4:E591,4,FALSE)</f>
        <v>47500000</v>
      </c>
      <c r="H33" s="235">
        <f>VLOOKUP(C28,'MASTER AKUN'!A4:E59,5,FALSE)</f>
        <v>0</v>
      </c>
    </row>
    <row r="34" spans="1:8" x14ac:dyDescent="0.35">
      <c r="A34" s="195">
        <v>39082</v>
      </c>
      <c r="B34" s="196"/>
      <c r="C34" s="196" t="s">
        <v>291</v>
      </c>
      <c r="D34" s="198"/>
      <c r="E34" s="234">
        <f ca="1">SUMIF('JURNAL UMUM'!$A$5:$G$101,'BUKU BESAR'!C28,'JURNAL UMUM'!$F$5:$F$101)</f>
        <v>59960000</v>
      </c>
      <c r="F34" s="234">
        <f ca="1">SUMIF('JURNAL UMUM'!$A$5:$G$101,'BUKU BESAR'!C28,'JURNAL UMUM'!$G$5:$G$101)</f>
        <v>49425000</v>
      </c>
      <c r="G34" s="234">
        <f ca="1">IF(G33+E34&gt;H33+F34,((G33+E34)-(H33+F34)),0)</f>
        <v>58035000</v>
      </c>
      <c r="H34" s="236">
        <f ca="1">IF(H33+F34&gt;G33+E34,((H33+F34)-(G33+E34)),0)</f>
        <v>0</v>
      </c>
    </row>
    <row r="35" spans="1:8" x14ac:dyDescent="0.35">
      <c r="B35" s="38"/>
      <c r="C35" s="37"/>
    </row>
    <row r="36" spans="1:8" x14ac:dyDescent="0.35">
      <c r="A36" s="32" t="s">
        <v>39</v>
      </c>
      <c r="C36" s="32" t="s">
        <v>168</v>
      </c>
    </row>
    <row r="37" spans="1:8" x14ac:dyDescent="0.35">
      <c r="A37" s="32" t="s">
        <v>40</v>
      </c>
      <c r="C37" s="32" t="str">
        <f>VLOOKUP(C36,'MASTER AKUN'!A12:B67,2,FALSE)</f>
        <v>Cadangan Piutang Tak Tertagih</v>
      </c>
    </row>
    <row r="39" spans="1:8" x14ac:dyDescent="0.35">
      <c r="A39" s="102" t="s">
        <v>19</v>
      </c>
      <c r="B39" s="102" t="s">
        <v>36</v>
      </c>
      <c r="C39" s="102" t="s">
        <v>37</v>
      </c>
      <c r="D39" s="102" t="s">
        <v>8</v>
      </c>
      <c r="E39" s="114" t="s">
        <v>9</v>
      </c>
      <c r="F39" s="114" t="s">
        <v>10</v>
      </c>
      <c r="G39" s="228" t="s">
        <v>38</v>
      </c>
      <c r="H39" s="228"/>
    </row>
    <row r="40" spans="1:8" x14ac:dyDescent="0.35">
      <c r="A40" s="102"/>
      <c r="B40" s="102"/>
      <c r="C40" s="102"/>
      <c r="D40" s="102"/>
      <c r="E40" s="114"/>
      <c r="F40" s="114"/>
      <c r="G40" s="114" t="s">
        <v>9</v>
      </c>
      <c r="H40" s="114" t="s">
        <v>10</v>
      </c>
    </row>
    <row r="41" spans="1:8" x14ac:dyDescent="0.35">
      <c r="A41" s="199">
        <v>39052</v>
      </c>
      <c r="B41" s="196"/>
      <c r="C41" s="196" t="s">
        <v>35</v>
      </c>
      <c r="D41" s="198"/>
      <c r="E41" s="237"/>
      <c r="F41" s="238"/>
      <c r="G41" s="234">
        <f>VLOOKUP(C36,'MASTER AKUN'!A12:E599,4,FALSE)</f>
        <v>0</v>
      </c>
      <c r="H41" s="235">
        <f>VLOOKUP(C36,'MASTER AKUN'!A12:E67,5,FALSE)</f>
        <v>0</v>
      </c>
    </row>
    <row r="42" spans="1:8" x14ac:dyDescent="0.35">
      <c r="A42" s="195">
        <v>39082</v>
      </c>
      <c r="B42" s="196"/>
      <c r="C42" s="196" t="s">
        <v>291</v>
      </c>
      <c r="D42" s="198"/>
      <c r="E42" s="234">
        <f ca="1">SUMIF('JURNAL UMUM'!$A$5:$G$101,'BUKU BESAR'!C36,'JURNAL UMUM'!$F$5:$F$101)</f>
        <v>0</v>
      </c>
      <c r="F42" s="234">
        <f ca="1">SUMIF('JURNAL UMUM'!$A$5:$G$101,'BUKU BESAR'!C36,'JURNAL UMUM'!$G$5:$G$101)</f>
        <v>0</v>
      </c>
      <c r="G42" s="234">
        <f ca="1">IF(G41+E42&gt;H41+F42,((G41+E42)-(H41+F42)),0)</f>
        <v>0</v>
      </c>
      <c r="H42" s="236">
        <f ca="1">IF(H41+F42&gt;G41+E42,((H41+F42)-(G41+E42)),0)</f>
        <v>0</v>
      </c>
    </row>
    <row r="44" spans="1:8" x14ac:dyDescent="0.35">
      <c r="A44" s="32" t="s">
        <v>39</v>
      </c>
      <c r="C44" s="32" t="s">
        <v>170</v>
      </c>
    </row>
    <row r="45" spans="1:8" x14ac:dyDescent="0.35">
      <c r="A45" s="32" t="s">
        <v>40</v>
      </c>
      <c r="C45" s="32" t="str">
        <f>VLOOKUP(C44,'MASTER AKUN'!A4:B59,2,FALSE)</f>
        <v>Piutang Karyawan</v>
      </c>
    </row>
    <row r="47" spans="1:8" x14ac:dyDescent="0.35">
      <c r="A47" s="102" t="s">
        <v>19</v>
      </c>
      <c r="B47" s="102" t="s">
        <v>36</v>
      </c>
      <c r="C47" s="102" t="s">
        <v>37</v>
      </c>
      <c r="D47" s="102" t="s">
        <v>8</v>
      </c>
      <c r="E47" s="114" t="s">
        <v>9</v>
      </c>
      <c r="F47" s="114" t="s">
        <v>10</v>
      </c>
      <c r="G47" s="228" t="s">
        <v>38</v>
      </c>
      <c r="H47" s="228"/>
    </row>
    <row r="48" spans="1:8" x14ac:dyDescent="0.35">
      <c r="A48" s="102"/>
      <c r="B48" s="102"/>
      <c r="C48" s="102"/>
      <c r="D48" s="102"/>
      <c r="E48" s="114"/>
      <c r="F48" s="114"/>
      <c r="G48" s="114" t="s">
        <v>9</v>
      </c>
      <c r="H48" s="114" t="s">
        <v>10</v>
      </c>
    </row>
    <row r="49" spans="1:8" x14ac:dyDescent="0.35">
      <c r="A49" s="199">
        <v>39052</v>
      </c>
      <c r="B49" s="196"/>
      <c r="C49" s="196" t="s">
        <v>35</v>
      </c>
      <c r="D49" s="198"/>
      <c r="E49" s="237"/>
      <c r="F49" s="238"/>
      <c r="G49" s="234">
        <f>VLOOKUP(C44,'MASTER AKUN'!A4:E59,4,FALSE)</f>
        <v>0</v>
      </c>
      <c r="H49" s="235">
        <f>VLOOKUP(C44,'MASTER AKUN'!A4:E59,5,FALSE)</f>
        <v>0</v>
      </c>
    </row>
    <row r="50" spans="1:8" x14ac:dyDescent="0.35">
      <c r="A50" s="195">
        <v>39082</v>
      </c>
      <c r="B50" s="196"/>
      <c r="C50" s="196" t="s">
        <v>291</v>
      </c>
      <c r="D50" s="198"/>
      <c r="E50" s="234">
        <f ca="1">SUMIF('JURNAL UMUM'!$A$5:$G$101,'BUKU BESAR'!C44,'JURNAL UMUM'!$F$5:$F$101)</f>
        <v>2500000</v>
      </c>
      <c r="F50" s="234">
        <f ca="1">SUMIF('JURNAL UMUM'!$A$5:$G$101,'BUKU BESAR'!C44,'JURNAL UMUM'!$G$5:$G$101)</f>
        <v>500000</v>
      </c>
      <c r="G50" s="234">
        <f ca="1">IF(G49+E50&gt;H49+F50,((G49+E50)-(H49+F50)),0)</f>
        <v>2000000</v>
      </c>
      <c r="H50" s="236">
        <f ca="1">IF(H49+F50&gt;G49+E50,((H49+F50)-(G49+E50)),0)</f>
        <v>0</v>
      </c>
    </row>
    <row r="52" spans="1:8" x14ac:dyDescent="0.35">
      <c r="A52" s="32" t="s">
        <v>39</v>
      </c>
      <c r="C52" s="32" t="s">
        <v>171</v>
      </c>
    </row>
    <row r="53" spans="1:8" x14ac:dyDescent="0.35">
      <c r="A53" s="32" t="s">
        <v>40</v>
      </c>
      <c r="C53" s="32" t="str">
        <f>VLOOKUP(C52,'MASTER AKUN'!A12:B67,2,FALSE)</f>
        <v>Persediaan Barang Dagangan</v>
      </c>
    </row>
    <row r="55" spans="1:8" x14ac:dyDescent="0.35">
      <c r="A55" s="102" t="s">
        <v>19</v>
      </c>
      <c r="B55" s="102" t="s">
        <v>36</v>
      </c>
      <c r="C55" s="102" t="s">
        <v>37</v>
      </c>
      <c r="D55" s="102" t="s">
        <v>8</v>
      </c>
      <c r="E55" s="114" t="s">
        <v>9</v>
      </c>
      <c r="F55" s="114" t="s">
        <v>10</v>
      </c>
      <c r="G55" s="228" t="s">
        <v>38</v>
      </c>
      <c r="H55" s="228"/>
    </row>
    <row r="56" spans="1:8" x14ac:dyDescent="0.35">
      <c r="A56" s="102"/>
      <c r="B56" s="102"/>
      <c r="C56" s="102"/>
      <c r="D56" s="102"/>
      <c r="E56" s="114"/>
      <c r="F56" s="114"/>
      <c r="G56" s="114" t="s">
        <v>9</v>
      </c>
      <c r="H56" s="114" t="s">
        <v>10</v>
      </c>
    </row>
    <row r="57" spans="1:8" x14ac:dyDescent="0.35">
      <c r="A57" s="199">
        <v>39052</v>
      </c>
      <c r="B57" s="196"/>
      <c r="C57" s="196" t="s">
        <v>35</v>
      </c>
      <c r="D57" s="198"/>
      <c r="E57" s="237"/>
      <c r="F57" s="238"/>
      <c r="G57" s="234">
        <f>VLOOKUP(C52,'MASTER AKUN'!A12:E67,4,FALSE)</f>
        <v>166380000</v>
      </c>
      <c r="H57" s="235">
        <f>VLOOKUP(C52,'MASTER AKUN'!A12:E67,5,FALSE)</f>
        <v>0</v>
      </c>
    </row>
    <row r="58" spans="1:8" x14ac:dyDescent="0.35">
      <c r="A58" s="195">
        <v>39082</v>
      </c>
      <c r="B58" s="196"/>
      <c r="C58" s="196" t="s">
        <v>291</v>
      </c>
      <c r="D58" s="198"/>
      <c r="E58" s="234">
        <f ca="1">SUMIF('JURNAL UMUM'!$A$5:$G$101,'BUKU BESAR'!C52,'JURNAL UMUM'!$F$5:$F$101)</f>
        <v>23475000</v>
      </c>
      <c r="F58" s="234">
        <f ca="1">SUMIF('JURNAL UMUM'!$A$5:$G$101,'BUKU BESAR'!C52,'JURNAL UMUM'!$G$5:$G$101)</f>
        <v>118390000</v>
      </c>
      <c r="G58" s="234">
        <f ca="1">IF(G57+E58&gt;H57+F58,((G57+E58)-(H57+F58)),0)</f>
        <v>71465000</v>
      </c>
      <c r="H58" s="236">
        <f ca="1">IF(H57+F58&gt;G57+E58,((H57+F58)-(G57+E58)),0)</f>
        <v>0</v>
      </c>
    </row>
    <row r="60" spans="1:8" x14ac:dyDescent="0.35">
      <c r="A60" s="32" t="s">
        <v>39</v>
      </c>
      <c r="C60" s="32" t="s">
        <v>187</v>
      </c>
    </row>
    <row r="61" spans="1:8" x14ac:dyDescent="0.35">
      <c r="A61" s="32" t="s">
        <v>40</v>
      </c>
      <c r="C61" s="32" t="str">
        <f>VLOOKUP(C60,'MASTER AKUN'!A4:E59,2,FALSE)</f>
        <v>Pembayaran Dimuka</v>
      </c>
    </row>
    <row r="63" spans="1:8" x14ac:dyDescent="0.35">
      <c r="A63" s="102" t="s">
        <v>19</v>
      </c>
      <c r="B63" s="102" t="s">
        <v>36</v>
      </c>
      <c r="C63" s="102" t="s">
        <v>37</v>
      </c>
      <c r="D63" s="102" t="s">
        <v>8</v>
      </c>
      <c r="E63" s="114" t="s">
        <v>9</v>
      </c>
      <c r="F63" s="114" t="s">
        <v>10</v>
      </c>
      <c r="G63" s="228" t="s">
        <v>38</v>
      </c>
      <c r="H63" s="228"/>
    </row>
    <row r="64" spans="1:8" x14ac:dyDescent="0.35">
      <c r="A64" s="102"/>
      <c r="B64" s="102"/>
      <c r="C64" s="102"/>
      <c r="D64" s="102"/>
      <c r="E64" s="114"/>
      <c r="F64" s="114"/>
      <c r="G64" s="114" t="s">
        <v>9</v>
      </c>
      <c r="H64" s="114" t="s">
        <v>10</v>
      </c>
    </row>
    <row r="65" spans="1:8" x14ac:dyDescent="0.35">
      <c r="A65" s="199">
        <v>39052</v>
      </c>
      <c r="B65" s="196"/>
      <c r="C65" s="196" t="s">
        <v>35</v>
      </c>
      <c r="D65" s="198"/>
      <c r="E65" s="237"/>
      <c r="F65" s="238"/>
      <c r="G65" s="234">
        <f>VLOOKUP(C60,'MASTER AKUN'!A4:D59,4,FALSE)</f>
        <v>0</v>
      </c>
      <c r="H65" s="235">
        <f>VLOOKUP(C60,'MASTER AKUN'!A4:E59,5,FALSE)</f>
        <v>0</v>
      </c>
    </row>
    <row r="66" spans="1:8" x14ac:dyDescent="0.35">
      <c r="A66" s="199">
        <v>39082</v>
      </c>
      <c r="B66" s="196"/>
      <c r="C66" s="196" t="s">
        <v>291</v>
      </c>
      <c r="D66" s="198"/>
      <c r="E66" s="234">
        <f ca="1">SUMIF('JURNAL UMUM'!$A$5:$G$101,'BUKU BESAR'!C60,'JURNAL UMUM'!$F$5:$F$101)</f>
        <v>0</v>
      </c>
      <c r="F66" s="234">
        <f ca="1">SUMIF('JURNAL UMUM'!$A$5:$G$101,'BUKU BESAR'!C60,'JURNAL UMUM'!$G$5:$G$101)</f>
        <v>0</v>
      </c>
      <c r="G66" s="234">
        <f ca="1">IF(G65+E66&gt;H65+F66,((G65+E66)-(H65+F66)),0)</f>
        <v>0</v>
      </c>
      <c r="H66" s="234">
        <f ca="1">IF(H65+F66&gt;G65+E66,((H65+F66)-(G65+E66)),0)</f>
        <v>0</v>
      </c>
    </row>
    <row r="67" spans="1:8" x14ac:dyDescent="0.35">
      <c r="A67" s="37"/>
      <c r="B67" s="38"/>
      <c r="C67" s="37"/>
      <c r="D67" s="37"/>
      <c r="E67" s="119"/>
      <c r="F67" s="119"/>
      <c r="G67" s="119"/>
      <c r="H67" s="119"/>
    </row>
    <row r="69" spans="1:8" x14ac:dyDescent="0.35">
      <c r="A69" s="32" t="s">
        <v>39</v>
      </c>
      <c r="C69" s="32" t="s">
        <v>188</v>
      </c>
    </row>
    <row r="70" spans="1:8" x14ac:dyDescent="0.35">
      <c r="A70" s="32" t="s">
        <v>40</v>
      </c>
      <c r="C70" s="32" t="str">
        <f>VLOOKUP(C69,'MASTER AKUN'!A13:E68,2,FALSE)</f>
        <v>PPN Masukan</v>
      </c>
    </row>
    <row r="72" spans="1:8" x14ac:dyDescent="0.35">
      <c r="A72" s="102" t="s">
        <v>19</v>
      </c>
      <c r="B72" s="102" t="s">
        <v>36</v>
      </c>
      <c r="C72" s="102" t="s">
        <v>37</v>
      </c>
      <c r="D72" s="102" t="s">
        <v>8</v>
      </c>
      <c r="E72" s="114" t="s">
        <v>9</v>
      </c>
      <c r="F72" s="114" t="s">
        <v>10</v>
      </c>
      <c r="G72" s="228" t="s">
        <v>38</v>
      </c>
      <c r="H72" s="228"/>
    </row>
    <row r="73" spans="1:8" x14ac:dyDescent="0.35">
      <c r="A73" s="102"/>
      <c r="B73" s="102"/>
      <c r="C73" s="102"/>
      <c r="D73" s="102"/>
      <c r="E73" s="114"/>
      <c r="F73" s="114"/>
      <c r="G73" s="114" t="s">
        <v>9</v>
      </c>
      <c r="H73" s="114" t="s">
        <v>10</v>
      </c>
    </row>
    <row r="74" spans="1:8" x14ac:dyDescent="0.35">
      <c r="A74" s="199">
        <v>39052</v>
      </c>
      <c r="B74" s="196"/>
      <c r="C74" s="196" t="s">
        <v>35</v>
      </c>
      <c r="D74" s="198"/>
      <c r="E74" s="237"/>
      <c r="F74" s="238"/>
      <c r="G74" s="234">
        <f>VLOOKUP(C69,'MASTER AKUN'!A13:D68,4,FALSE)</f>
        <v>0</v>
      </c>
      <c r="H74" s="235">
        <f>VLOOKUP(C69,'MASTER AKUN'!A13:E68,5,FALSE)</f>
        <v>0</v>
      </c>
    </row>
    <row r="75" spans="1:8" x14ac:dyDescent="0.35">
      <c r="A75" s="195">
        <v>39082</v>
      </c>
      <c r="B75" s="196"/>
      <c r="C75" s="196" t="s">
        <v>291</v>
      </c>
      <c r="D75" s="198"/>
      <c r="E75" s="234">
        <f ca="1">SUMIF('JURNAL UMUM'!$A$5:$G$101,'BUKU BESAR'!C69,'JURNAL UMUM'!$F$5:$F$101)</f>
        <v>2175000</v>
      </c>
      <c r="F75" s="234">
        <f ca="1">SUMIF('JURNAL UMUM'!$A$5:$G$101,'BUKU BESAR'!C69,'JURNAL UMUM'!$G$5:$G$101)</f>
        <v>32500</v>
      </c>
      <c r="G75" s="234">
        <f ca="1">IF(G74+E75&gt;H74+F75,((G74+E75)-(H74+F75)),0)</f>
        <v>2142500</v>
      </c>
      <c r="H75" s="236">
        <f ca="1">IF(H74+F75&gt;G74+E75,((H74+F75)-(G74+E75)),0)</f>
        <v>0</v>
      </c>
    </row>
    <row r="76" spans="1:8" x14ac:dyDescent="0.35">
      <c r="A76" s="37"/>
      <c r="B76" s="37"/>
      <c r="C76" s="37"/>
      <c r="D76" s="37"/>
      <c r="E76" s="119"/>
      <c r="F76" s="119"/>
      <c r="G76" s="119"/>
      <c r="H76" s="119"/>
    </row>
    <row r="77" spans="1:8" x14ac:dyDescent="0.35">
      <c r="A77" s="32" t="s">
        <v>39</v>
      </c>
      <c r="C77" s="32" t="s">
        <v>189</v>
      </c>
    </row>
    <row r="78" spans="1:8" x14ac:dyDescent="0.35">
      <c r="A78" s="32" t="s">
        <v>40</v>
      </c>
      <c r="C78" s="32" t="str">
        <f>VLOOKUP(C77,'MASTER AKUN'!A4:E59,2,FALSE)</f>
        <v>Uang Muka Pembelian</v>
      </c>
    </row>
    <row r="80" spans="1:8" x14ac:dyDescent="0.35">
      <c r="A80" s="102" t="s">
        <v>19</v>
      </c>
      <c r="B80" s="102" t="s">
        <v>36</v>
      </c>
      <c r="C80" s="102" t="s">
        <v>37</v>
      </c>
      <c r="D80" s="102" t="s">
        <v>8</v>
      </c>
      <c r="E80" s="114" t="s">
        <v>9</v>
      </c>
      <c r="F80" s="114" t="s">
        <v>10</v>
      </c>
      <c r="G80" s="228" t="s">
        <v>38</v>
      </c>
      <c r="H80" s="228"/>
    </row>
    <row r="81" spans="1:8" x14ac:dyDescent="0.35">
      <c r="A81" s="102"/>
      <c r="B81" s="102"/>
      <c r="C81" s="102"/>
      <c r="D81" s="102"/>
      <c r="E81" s="114"/>
      <c r="F81" s="114"/>
      <c r="G81" s="114" t="s">
        <v>9</v>
      </c>
      <c r="H81" s="114" t="s">
        <v>10</v>
      </c>
    </row>
    <row r="82" spans="1:8" x14ac:dyDescent="0.35">
      <c r="A82" s="199">
        <v>39052</v>
      </c>
      <c r="B82" s="196"/>
      <c r="C82" s="196" t="s">
        <v>35</v>
      </c>
      <c r="D82" s="198"/>
      <c r="E82" s="237"/>
      <c r="F82" s="238"/>
      <c r="G82" s="234">
        <f>VLOOKUP(C77,'MASTER AKUN'!A4:D59,4,FALSE)</f>
        <v>0</v>
      </c>
      <c r="H82" s="235">
        <f>VLOOKUP(C77,'MASTER AKUN'!A4:E59,5,FALSE)</f>
        <v>0</v>
      </c>
    </row>
    <row r="83" spans="1:8" x14ac:dyDescent="0.35">
      <c r="A83" s="195">
        <v>39082</v>
      </c>
      <c r="B83" s="196"/>
      <c r="C83" s="196" t="s">
        <v>291</v>
      </c>
      <c r="D83" s="198"/>
      <c r="E83" s="234">
        <f ca="1">SUMIF('JURNAL UMUM'!$A$5:$G$101,'BUKU BESAR'!C77,'JURNAL UMUM'!$F$5:$F$101)</f>
        <v>6000000</v>
      </c>
      <c r="F83" s="234">
        <f ca="1">SUMIF('JURNAL UMUM'!$A$5:$G$101,'BUKU BESAR'!C77,'JURNAL UMUM'!$G$5:$G$101)</f>
        <v>30000000</v>
      </c>
      <c r="G83" s="234">
        <f ca="1">IF(G82+E83&gt;H82+F83,((G82+E83)-(H82+F83)),0)</f>
        <v>0</v>
      </c>
      <c r="H83" s="236">
        <f ca="1">IF(H82+F83&gt;G82+E83,((H82+F83)-(G82+E83)),0)</f>
        <v>24000000</v>
      </c>
    </row>
    <row r="85" spans="1:8" x14ac:dyDescent="0.35">
      <c r="A85" s="32" t="s">
        <v>39</v>
      </c>
      <c r="C85" s="158" t="s">
        <v>192</v>
      </c>
    </row>
    <row r="86" spans="1:8" x14ac:dyDescent="0.35">
      <c r="A86" s="32" t="s">
        <v>40</v>
      </c>
      <c r="C86" s="32" t="str">
        <f>VLOOKUP(C85,'MASTER AKUN'!A12:E67,2,FALSE)</f>
        <v>Nilai Buku Peralatan Kantor</v>
      </c>
    </row>
    <row r="88" spans="1:8" x14ac:dyDescent="0.35">
      <c r="A88" s="102" t="s">
        <v>19</v>
      </c>
      <c r="B88" s="102" t="s">
        <v>36</v>
      </c>
      <c r="C88" s="102" t="s">
        <v>37</v>
      </c>
      <c r="D88" s="102" t="s">
        <v>8</v>
      </c>
      <c r="E88" s="114" t="s">
        <v>9</v>
      </c>
      <c r="F88" s="114" t="s">
        <v>10</v>
      </c>
      <c r="G88" s="228" t="s">
        <v>38</v>
      </c>
      <c r="H88" s="228"/>
    </row>
    <row r="89" spans="1:8" x14ac:dyDescent="0.35">
      <c r="A89" s="102"/>
      <c r="B89" s="102"/>
      <c r="C89" s="102"/>
      <c r="D89" s="102"/>
      <c r="E89" s="114"/>
      <c r="F89" s="114"/>
      <c r="G89" s="114" t="s">
        <v>9</v>
      </c>
      <c r="H89" s="114" t="s">
        <v>10</v>
      </c>
    </row>
    <row r="90" spans="1:8" x14ac:dyDescent="0.35">
      <c r="A90" s="199">
        <v>39052</v>
      </c>
      <c r="B90" s="196"/>
      <c r="C90" s="196" t="s">
        <v>35</v>
      </c>
      <c r="D90" s="198"/>
      <c r="E90" s="237"/>
      <c r="F90" s="238"/>
      <c r="G90" s="234">
        <f>VLOOKUP(C85,'MASTER AKUN'!A12:D67,4,FALSE)</f>
        <v>0</v>
      </c>
      <c r="H90" s="235">
        <f>VLOOKUP(C85,'MASTER AKUN'!A12:E67,5,FALSE)</f>
        <v>0</v>
      </c>
    </row>
    <row r="91" spans="1:8" x14ac:dyDescent="0.35">
      <c r="A91" s="195">
        <v>39082</v>
      </c>
      <c r="B91" s="196"/>
      <c r="C91" s="196" t="s">
        <v>291</v>
      </c>
      <c r="D91" s="198"/>
      <c r="E91" s="234">
        <f ca="1">SUMIF('JURNAL UMUM'!$A$5:$G$101,'BUKU BESAR'!C85,'JURNAL UMUM'!$F$5:$F$101)</f>
        <v>0</v>
      </c>
      <c r="F91" s="234">
        <f ca="1">SUMIF('JURNAL UMUM'!$A$5:$G$101,'BUKU BESAR'!C85,'JURNAL UMUM'!$G$5:$G$101)</f>
        <v>0</v>
      </c>
      <c r="G91" s="234">
        <f ca="1">IF(G90+E91&gt;H90+F91,((G90+E91)-(H90+F91)),0)</f>
        <v>0</v>
      </c>
      <c r="H91" s="236">
        <f ca="1">IF(H90+F91&gt;G90+E91,((H90+F91)-(G90+E91)),0)</f>
        <v>0</v>
      </c>
    </row>
    <row r="94" spans="1:8" x14ac:dyDescent="0.35">
      <c r="A94" s="32" t="s">
        <v>39</v>
      </c>
      <c r="C94" s="158" t="s">
        <v>193</v>
      </c>
    </row>
    <row r="95" spans="1:8" x14ac:dyDescent="0.35">
      <c r="A95" s="32" t="s">
        <v>40</v>
      </c>
      <c r="C95" s="32" t="str">
        <f>VLOOKUP(C94,'MASTER AKUN'!A4:B59,2,FALSE)</f>
        <v>Peralatan Kantor</v>
      </c>
    </row>
    <row r="97" spans="1:8" x14ac:dyDescent="0.35">
      <c r="A97" s="102" t="s">
        <v>19</v>
      </c>
      <c r="B97" s="102" t="s">
        <v>36</v>
      </c>
      <c r="C97" s="102" t="s">
        <v>37</v>
      </c>
      <c r="D97" s="102" t="s">
        <v>8</v>
      </c>
      <c r="E97" s="114" t="s">
        <v>9</v>
      </c>
      <c r="F97" s="114" t="s">
        <v>10</v>
      </c>
      <c r="G97" s="228" t="s">
        <v>38</v>
      </c>
      <c r="H97" s="228"/>
    </row>
    <row r="98" spans="1:8" x14ac:dyDescent="0.35">
      <c r="A98" s="102"/>
      <c r="B98" s="102"/>
      <c r="C98" s="102"/>
      <c r="D98" s="102"/>
      <c r="E98" s="114"/>
      <c r="F98" s="114"/>
      <c r="G98" s="114" t="s">
        <v>9</v>
      </c>
      <c r="H98" s="114" t="s">
        <v>10</v>
      </c>
    </row>
    <row r="99" spans="1:8" x14ac:dyDescent="0.35">
      <c r="A99" s="199">
        <v>39052</v>
      </c>
      <c r="B99" s="196"/>
      <c r="C99" s="196" t="s">
        <v>35</v>
      </c>
      <c r="D99" s="198"/>
      <c r="E99" s="237"/>
      <c r="F99" s="238"/>
      <c r="G99" s="234">
        <f>VLOOKUP(C94,'MASTER AKUN'!A21:D76,4,FALSE)</f>
        <v>25000000</v>
      </c>
      <c r="H99" s="235">
        <f>VLOOKUP(C94,'MASTER AKUN'!A21:E76,5,FALSE)</f>
        <v>0</v>
      </c>
    </row>
    <row r="100" spans="1:8" x14ac:dyDescent="0.35">
      <c r="A100" s="195">
        <v>39082</v>
      </c>
      <c r="B100" s="196"/>
      <c r="C100" s="196" t="s">
        <v>291</v>
      </c>
      <c r="D100" s="198"/>
      <c r="E100" s="234">
        <f ca="1">SUMIF('JURNAL UMUM'!$A$5:$G$101,'BUKU BESAR'!C94,'JURNAL UMUM'!$F$5:$F$101)</f>
        <v>0</v>
      </c>
      <c r="F100" s="234">
        <f ca="1">SUMIF('JURNAL UMUM'!$A$5:$G$101,'BUKU BESAR'!C94,'JURNAL UMUM'!$G$5:$G$101)</f>
        <v>0</v>
      </c>
      <c r="G100" s="234">
        <f ca="1">IF(G99+E100&gt;H99+F100,((G99+E100)-(H99+F100)),0)</f>
        <v>25000000</v>
      </c>
      <c r="H100" s="236">
        <f ca="1">IF(H99+F100&gt;G99+E100,((H99+F100)-(G99+E100)),0)</f>
        <v>0</v>
      </c>
    </row>
    <row r="102" spans="1:8" x14ac:dyDescent="0.35">
      <c r="A102" s="32" t="s">
        <v>39</v>
      </c>
      <c r="C102" s="158" t="s">
        <v>194</v>
      </c>
    </row>
    <row r="103" spans="1:8" x14ac:dyDescent="0.35">
      <c r="A103" s="32" t="s">
        <v>40</v>
      </c>
      <c r="C103" s="32" t="str">
        <f>VLOOKUP(C102,'MASTER AKUN'!A12:B67,2,FALSE)</f>
        <v>Akumulasi Penyusutan Peralatan Kantor</v>
      </c>
    </row>
    <row r="105" spans="1:8" x14ac:dyDescent="0.35">
      <c r="A105" s="102" t="s">
        <v>19</v>
      </c>
      <c r="B105" s="102" t="s">
        <v>36</v>
      </c>
      <c r="C105" s="102" t="s">
        <v>37</v>
      </c>
      <c r="D105" s="102" t="s">
        <v>8</v>
      </c>
      <c r="E105" s="114" t="s">
        <v>9</v>
      </c>
      <c r="F105" s="114" t="s">
        <v>10</v>
      </c>
      <c r="G105" s="228" t="s">
        <v>38</v>
      </c>
      <c r="H105" s="228"/>
    </row>
    <row r="106" spans="1:8" x14ac:dyDescent="0.35">
      <c r="A106" s="102"/>
      <c r="B106" s="102"/>
      <c r="C106" s="102"/>
      <c r="D106" s="102"/>
      <c r="E106" s="114"/>
      <c r="F106" s="114"/>
      <c r="G106" s="114" t="s">
        <v>9</v>
      </c>
      <c r="H106" s="114" t="s">
        <v>10</v>
      </c>
    </row>
    <row r="107" spans="1:8" x14ac:dyDescent="0.35">
      <c r="A107" s="199">
        <v>39052</v>
      </c>
      <c r="B107" s="196"/>
      <c r="C107" s="196" t="s">
        <v>35</v>
      </c>
      <c r="D107" s="198"/>
      <c r="E107" s="237"/>
      <c r="F107" s="238"/>
      <c r="G107" s="234">
        <f>VLOOKUP(C102,'MASTER AKUN'!A4:D59,4,FALSE)</f>
        <v>0</v>
      </c>
      <c r="H107" s="235">
        <f>VLOOKUP(C102,'MASTER AKUN'!A4:E59,5,FALSE)</f>
        <v>7500000</v>
      </c>
    </row>
    <row r="108" spans="1:8" x14ac:dyDescent="0.35">
      <c r="A108" s="195">
        <v>39082</v>
      </c>
      <c r="B108" s="196"/>
      <c r="C108" s="196" t="s">
        <v>291</v>
      </c>
      <c r="D108" s="198"/>
      <c r="E108" s="234">
        <f ca="1">SUMIF('JURNAL UMUM'!$A$5:$G$101,'BUKU BESAR'!C102,'JURNAL UMUM'!$F$5:$F$101)</f>
        <v>0</v>
      </c>
      <c r="F108" s="234">
        <f ca="1">SUMIF('JURNAL UMUM'!$A$5:$G$101,'BUKU BESAR'!C102,'JURNAL UMUM'!$G$5:$G$101)</f>
        <v>0</v>
      </c>
      <c r="G108" s="234">
        <f ca="1">IF(G107+E108&gt;H107+F108,((G107+E108)-(H107+F108)),0)</f>
        <v>0</v>
      </c>
      <c r="H108" s="236">
        <f ca="1">IF(H107+F108&gt;G107+E108,((H107+F108)-(G107+E108)),0)</f>
        <v>7500000</v>
      </c>
    </row>
    <row r="110" spans="1:8" x14ac:dyDescent="0.35">
      <c r="A110" s="32" t="s">
        <v>39</v>
      </c>
      <c r="C110" s="158" t="s">
        <v>195</v>
      </c>
    </row>
    <row r="111" spans="1:8" x14ac:dyDescent="0.35">
      <c r="A111" s="32" t="s">
        <v>40</v>
      </c>
      <c r="C111" s="32" t="str">
        <f>VLOOKUP(C110,'MASTER AKUN'!A20:B75,2,FALSE)</f>
        <v>Nilai Buku Kendaraan</v>
      </c>
    </row>
    <row r="113" spans="1:8" x14ac:dyDescent="0.35">
      <c r="A113" s="102" t="s">
        <v>19</v>
      </c>
      <c r="B113" s="102" t="s">
        <v>36</v>
      </c>
      <c r="C113" s="102" t="s">
        <v>37</v>
      </c>
      <c r="D113" s="102" t="s">
        <v>8</v>
      </c>
      <c r="E113" s="114" t="s">
        <v>9</v>
      </c>
      <c r="F113" s="114" t="s">
        <v>10</v>
      </c>
      <c r="G113" s="228" t="s">
        <v>38</v>
      </c>
      <c r="H113" s="228"/>
    </row>
    <row r="114" spans="1:8" x14ac:dyDescent="0.35">
      <c r="A114" s="102"/>
      <c r="B114" s="102"/>
      <c r="C114" s="102"/>
      <c r="D114" s="102"/>
      <c r="E114" s="114"/>
      <c r="F114" s="114"/>
      <c r="G114" s="114" t="s">
        <v>9</v>
      </c>
      <c r="H114" s="114" t="s">
        <v>10</v>
      </c>
    </row>
    <row r="115" spans="1:8" x14ac:dyDescent="0.35">
      <c r="A115" s="199">
        <v>39052</v>
      </c>
      <c r="B115" s="196"/>
      <c r="C115" s="196" t="s">
        <v>35</v>
      </c>
      <c r="D115" s="198"/>
      <c r="E115" s="237"/>
      <c r="F115" s="238"/>
      <c r="G115" s="234">
        <f>VLOOKUP(C110,'MASTER AKUN'!A12:D67,4,FALSE)</f>
        <v>0</v>
      </c>
      <c r="H115" s="235">
        <f>VLOOKUP(C110,'MASTER AKUN'!A12:E67,5,FALSE)</f>
        <v>0</v>
      </c>
    </row>
    <row r="116" spans="1:8" x14ac:dyDescent="0.35">
      <c r="A116" s="195">
        <v>39082</v>
      </c>
      <c r="B116" s="196"/>
      <c r="C116" s="196" t="s">
        <v>291</v>
      </c>
      <c r="D116" s="198"/>
      <c r="E116" s="234">
        <f ca="1">SUMIF('JURNAL UMUM'!$A$5:$G$101,'BUKU BESAR'!C110,'JURNAL UMUM'!$F$5:$F$101)</f>
        <v>0</v>
      </c>
      <c r="F116" s="234">
        <f ca="1">SUMIF('JURNAL UMUM'!$A$5:$G$101,'BUKU BESAR'!C110,'JURNAL UMUM'!$G$5:$G$101)</f>
        <v>0</v>
      </c>
      <c r="G116" s="234">
        <f ca="1">IF(G115+E116&gt;H115+F116,((G115+E116)-(H115+F116)),0)</f>
        <v>0</v>
      </c>
      <c r="H116" s="236">
        <f ca="1">IF(H115+F116&gt;G115+E116,((H115+F116)-(G115+E116)),0)</f>
        <v>0</v>
      </c>
    </row>
    <row r="118" spans="1:8" x14ac:dyDescent="0.35">
      <c r="A118" s="32" t="s">
        <v>39</v>
      </c>
      <c r="C118" s="158" t="s">
        <v>196</v>
      </c>
    </row>
    <row r="119" spans="1:8" x14ac:dyDescent="0.35">
      <c r="A119" s="32" t="s">
        <v>40</v>
      </c>
      <c r="C119" s="32" t="str">
        <f>VLOOKUP(C118,'MASTER AKUN'!A4:B59,2,FALSE)</f>
        <v>Kendaraan</v>
      </c>
    </row>
    <row r="121" spans="1:8" x14ac:dyDescent="0.35">
      <c r="A121" s="102" t="s">
        <v>19</v>
      </c>
      <c r="B121" s="102" t="s">
        <v>36</v>
      </c>
      <c r="C121" s="102" t="s">
        <v>37</v>
      </c>
      <c r="D121" s="102" t="s">
        <v>8</v>
      </c>
      <c r="E121" s="114" t="s">
        <v>9</v>
      </c>
      <c r="F121" s="114" t="s">
        <v>10</v>
      </c>
      <c r="G121" s="228" t="s">
        <v>38</v>
      </c>
      <c r="H121" s="228"/>
    </row>
    <row r="122" spans="1:8" x14ac:dyDescent="0.35">
      <c r="A122" s="102"/>
      <c r="B122" s="102"/>
      <c r="C122" s="102"/>
      <c r="D122" s="102"/>
      <c r="E122" s="114"/>
      <c r="F122" s="114"/>
      <c r="G122" s="114" t="s">
        <v>9</v>
      </c>
      <c r="H122" s="114" t="s">
        <v>10</v>
      </c>
    </row>
    <row r="123" spans="1:8" x14ac:dyDescent="0.35">
      <c r="A123" s="199">
        <v>39052</v>
      </c>
      <c r="B123" s="196"/>
      <c r="C123" s="196" t="s">
        <v>35</v>
      </c>
      <c r="D123" s="198"/>
      <c r="E123" s="237"/>
      <c r="F123" s="238"/>
      <c r="G123" s="234">
        <f>VLOOKUP(C118,'MASTER AKUN'!A20:D75,4,FALSE)</f>
        <v>45000000</v>
      </c>
      <c r="H123" s="235">
        <f>VLOOKUP(C118,'MASTER AKUN'!A20:E75,5,FALSE)</f>
        <v>0</v>
      </c>
    </row>
    <row r="124" spans="1:8" x14ac:dyDescent="0.35">
      <c r="A124" s="195">
        <v>39082</v>
      </c>
      <c r="B124" s="196"/>
      <c r="C124" s="196" t="s">
        <v>291</v>
      </c>
      <c r="D124" s="198"/>
      <c r="E124" s="234">
        <f ca="1">SUMIF('JURNAL UMUM'!$A$5:$G$101,'BUKU BESAR'!C118,'JURNAL UMUM'!$F$5:$F$101)</f>
        <v>11500000</v>
      </c>
      <c r="F124" s="234">
        <f ca="1">SUMIF('JURNAL UMUM'!$A$5:$G$101,'BUKU BESAR'!C118,'JURNAL UMUM'!$G$5:$G$101)</f>
        <v>6000000</v>
      </c>
      <c r="G124" s="234">
        <f ca="1">IF(G123+E124&gt;H123+F124,((G123+E124)-(H123+F124)),0)</f>
        <v>50500000</v>
      </c>
      <c r="H124" s="236">
        <f ca="1">IF(H123+F124&gt;G123+E124,((H123+F124)-(G123+E124)),0)</f>
        <v>0</v>
      </c>
    </row>
    <row r="126" spans="1:8" x14ac:dyDescent="0.35">
      <c r="A126" s="32" t="s">
        <v>39</v>
      </c>
      <c r="C126" s="158" t="s">
        <v>197</v>
      </c>
    </row>
    <row r="127" spans="1:8" x14ac:dyDescent="0.35">
      <c r="A127" s="32" t="s">
        <v>40</v>
      </c>
      <c r="C127" s="32" t="str">
        <f>VLOOKUP(C126,'MASTER AKUN'!A12:B67,2,FALSE)</f>
        <v>Akumulasi Penyusutan Kendaraan</v>
      </c>
    </row>
    <row r="129" spans="1:8" x14ac:dyDescent="0.35">
      <c r="A129" s="102" t="s">
        <v>19</v>
      </c>
      <c r="B129" s="102" t="s">
        <v>36</v>
      </c>
      <c r="C129" s="102" t="s">
        <v>37</v>
      </c>
      <c r="D129" s="102" t="s">
        <v>8</v>
      </c>
      <c r="E129" s="114" t="s">
        <v>9</v>
      </c>
      <c r="F129" s="114" t="s">
        <v>10</v>
      </c>
      <c r="G129" s="228" t="s">
        <v>38</v>
      </c>
      <c r="H129" s="228"/>
    </row>
    <row r="130" spans="1:8" x14ac:dyDescent="0.35">
      <c r="A130" s="102"/>
      <c r="B130" s="102"/>
      <c r="C130" s="102"/>
      <c r="D130" s="102"/>
      <c r="E130" s="114"/>
      <c r="F130" s="114"/>
      <c r="G130" s="114" t="s">
        <v>9</v>
      </c>
      <c r="H130" s="114" t="s">
        <v>10</v>
      </c>
    </row>
    <row r="131" spans="1:8" x14ac:dyDescent="0.35">
      <c r="A131" s="199">
        <v>39052</v>
      </c>
      <c r="B131" s="196"/>
      <c r="C131" s="196" t="s">
        <v>35</v>
      </c>
      <c r="D131" s="198"/>
      <c r="E131" s="237"/>
      <c r="F131" s="238"/>
      <c r="G131" s="234">
        <f>VLOOKUP(C126,'MASTER AKUN'!A4:D59,4,FALSE)</f>
        <v>0</v>
      </c>
      <c r="H131" s="235">
        <f>VLOOKUP(C126,'MASTER AKUN'!A4:E59,5,FALSE)</f>
        <v>25000000</v>
      </c>
    </row>
    <row r="132" spans="1:8" x14ac:dyDescent="0.35">
      <c r="A132" s="195">
        <v>39082</v>
      </c>
      <c r="B132" s="196"/>
      <c r="C132" s="196" t="s">
        <v>291</v>
      </c>
      <c r="D132" s="198"/>
      <c r="E132" s="234">
        <f ca="1">SUMIF('JURNAL UMUM'!$A$5:$G$101,'BUKU BESAR'!C126,'JURNAL UMUM'!$F$5:$F$101)</f>
        <v>1500000</v>
      </c>
      <c r="F132" s="234">
        <f ca="1">SUMIF('JURNAL UMUM'!$A$5:$G$101,'BUKU BESAR'!C126,'JURNAL UMUM'!$G$5:$G$101)</f>
        <v>0</v>
      </c>
      <c r="G132" s="234">
        <f ca="1">IF(G131+E132&gt;H131+F132,((G131+E132)-(H131+F132)),0)</f>
        <v>0</v>
      </c>
      <c r="H132" s="236">
        <f ca="1">IF(H131+F132&gt;G131+E132,((H131+F132)-(G131+E132)),0)</f>
        <v>23500000</v>
      </c>
    </row>
    <row r="134" spans="1:8" x14ac:dyDescent="0.35">
      <c r="A134" s="32" t="s">
        <v>39</v>
      </c>
      <c r="C134" s="158" t="s">
        <v>199</v>
      </c>
    </row>
    <row r="135" spans="1:8" x14ac:dyDescent="0.35">
      <c r="A135" s="32" t="s">
        <v>40</v>
      </c>
      <c r="C135" s="32" t="str">
        <f>VLOOKUP(C134,'MASTER AKUN'!A20:B75,2,FALSE)</f>
        <v>Hutang Usaha</v>
      </c>
    </row>
    <row r="137" spans="1:8" x14ac:dyDescent="0.35">
      <c r="A137" s="102" t="s">
        <v>19</v>
      </c>
      <c r="B137" s="102" t="s">
        <v>36</v>
      </c>
      <c r="C137" s="102" t="s">
        <v>37</v>
      </c>
      <c r="D137" s="102" t="s">
        <v>8</v>
      </c>
      <c r="E137" s="114" t="s">
        <v>9</v>
      </c>
      <c r="F137" s="114" t="s">
        <v>10</v>
      </c>
      <c r="G137" s="228" t="s">
        <v>38</v>
      </c>
      <c r="H137" s="228"/>
    </row>
    <row r="138" spans="1:8" x14ac:dyDescent="0.35">
      <c r="A138" s="102"/>
      <c r="B138" s="102"/>
      <c r="C138" s="102"/>
      <c r="D138" s="102"/>
      <c r="E138" s="114"/>
      <c r="F138" s="114"/>
      <c r="G138" s="114" t="s">
        <v>9</v>
      </c>
      <c r="H138" s="114" t="s">
        <v>10</v>
      </c>
    </row>
    <row r="139" spans="1:8" x14ac:dyDescent="0.35">
      <c r="A139" s="199">
        <v>39052</v>
      </c>
      <c r="B139" s="196"/>
      <c r="C139" s="196" t="s">
        <v>35</v>
      </c>
      <c r="D139" s="198"/>
      <c r="E139" s="237"/>
      <c r="F139" s="238"/>
      <c r="G139" s="234">
        <f>VLOOKUP(C134,'MASTER AKUN'!A12:D67,4,FALSE)</f>
        <v>0</v>
      </c>
      <c r="H139" s="235">
        <f>VLOOKUP(C134,'MASTER AKUN'!A12:E67,5,FALSE)</f>
        <v>75000000</v>
      </c>
    </row>
    <row r="140" spans="1:8" x14ac:dyDescent="0.35">
      <c r="A140" s="195">
        <v>39082</v>
      </c>
      <c r="B140" s="196"/>
      <c r="C140" s="196" t="s">
        <v>291</v>
      </c>
      <c r="D140" s="198"/>
      <c r="E140" s="234">
        <f ca="1">SUMIF('JURNAL UMUM'!$A$5:$G$101,'BUKU BESAR'!C134,'JURNAL UMUM'!$F$5:$F$101)</f>
        <v>46357500</v>
      </c>
      <c r="F140" s="234">
        <f ca="1">SUMIF('JURNAL UMUM'!$A$5:$G$101,'BUKU BESAR'!C134,'JURNAL UMUM'!$G$5:$G$101)</f>
        <v>17925000</v>
      </c>
      <c r="G140" s="234">
        <f ca="1">IF(G139+E140&gt;H139+F140,((G139+E140)-(H139+F140)),0)</f>
        <v>0</v>
      </c>
      <c r="H140" s="236">
        <f ca="1">IF(H139+F140&gt;G139+E140,((H139+F140)-(G139+E140)),0)</f>
        <v>46567500</v>
      </c>
    </row>
    <row r="142" spans="1:8" x14ac:dyDescent="0.35">
      <c r="A142" s="32" t="s">
        <v>39</v>
      </c>
      <c r="C142" s="158" t="s">
        <v>200</v>
      </c>
    </row>
    <row r="143" spans="1:8" x14ac:dyDescent="0.35">
      <c r="A143" s="32" t="s">
        <v>40</v>
      </c>
      <c r="C143" s="32" t="str">
        <f>VLOOKUP(C142,'MASTER AKUN'!A28:B83,2,FALSE)</f>
        <v>Pendapatan Diterima Dimuka-Jasa Kirim</v>
      </c>
    </row>
    <row r="145" spans="1:8" x14ac:dyDescent="0.35">
      <c r="A145" s="102" t="s">
        <v>19</v>
      </c>
      <c r="B145" s="102" t="s">
        <v>36</v>
      </c>
      <c r="C145" s="102" t="s">
        <v>37</v>
      </c>
      <c r="D145" s="102" t="s">
        <v>8</v>
      </c>
      <c r="E145" s="114" t="s">
        <v>9</v>
      </c>
      <c r="F145" s="114" t="s">
        <v>10</v>
      </c>
      <c r="G145" s="228" t="s">
        <v>38</v>
      </c>
      <c r="H145" s="228"/>
    </row>
    <row r="146" spans="1:8" x14ac:dyDescent="0.35">
      <c r="A146" s="102"/>
      <c r="B146" s="102"/>
      <c r="C146" s="102"/>
      <c r="D146" s="102"/>
      <c r="E146" s="114"/>
      <c r="F146" s="114"/>
      <c r="G146" s="114" t="s">
        <v>9</v>
      </c>
      <c r="H146" s="114" t="s">
        <v>10</v>
      </c>
    </row>
    <row r="147" spans="1:8" x14ac:dyDescent="0.35">
      <c r="A147" s="199">
        <v>39052</v>
      </c>
      <c r="B147" s="196"/>
      <c r="C147" s="196" t="s">
        <v>35</v>
      </c>
      <c r="D147" s="198"/>
      <c r="E147" s="237"/>
      <c r="F147" s="238"/>
      <c r="G147" s="234">
        <f>VLOOKUP(C142,'MASTER AKUN'!A20:D75,4,FALSE)</f>
        <v>0</v>
      </c>
      <c r="H147" s="235">
        <f>VLOOKUP(C142,'MASTER AKUN'!A20:E75,5,FALSE)</f>
        <v>0</v>
      </c>
    </row>
    <row r="148" spans="1:8" x14ac:dyDescent="0.35">
      <c r="A148" s="195">
        <v>39082</v>
      </c>
      <c r="B148" s="196"/>
      <c r="C148" s="196" t="s">
        <v>291</v>
      </c>
      <c r="D148" s="198"/>
      <c r="E148" s="234">
        <f ca="1">SUMIF('JURNAL UMUM'!$A$5:$G$101,'BUKU BESAR'!C142,'JURNAL UMUM'!$F$5:$F$101)</f>
        <v>0</v>
      </c>
      <c r="F148" s="234">
        <f ca="1">SUMIF('JURNAL UMUM'!$A$5:$G$101,'BUKU BESAR'!C142,'JURNAL UMUM'!$G$5:$G$101)</f>
        <v>200000</v>
      </c>
      <c r="G148" s="234">
        <f ca="1">IF(G147+E148&gt;H147+F148,((G147+E148)-(H147+F148)),0)</f>
        <v>0</v>
      </c>
      <c r="H148" s="236">
        <f ca="1">IF(H147+F148&gt;G147+E148,((H147+F148)-(G147+E148)),0)</f>
        <v>200000</v>
      </c>
    </row>
    <row r="150" spans="1:8" x14ac:dyDescent="0.35">
      <c r="A150" s="32" t="s">
        <v>39</v>
      </c>
      <c r="C150" s="158" t="s">
        <v>201</v>
      </c>
    </row>
    <row r="151" spans="1:8" x14ac:dyDescent="0.35">
      <c r="A151" s="32" t="s">
        <v>40</v>
      </c>
      <c r="C151" s="32" t="str">
        <f>VLOOKUP(C150,'MASTER AKUN'!A4:B57,2,FALSE)</f>
        <v xml:space="preserve">Hutang Bunga </v>
      </c>
    </row>
    <row r="153" spans="1:8" x14ac:dyDescent="0.35">
      <c r="A153" s="102" t="s">
        <v>19</v>
      </c>
      <c r="B153" s="102" t="s">
        <v>36</v>
      </c>
      <c r="C153" s="102" t="s">
        <v>37</v>
      </c>
      <c r="D153" s="102" t="s">
        <v>8</v>
      </c>
      <c r="E153" s="114" t="s">
        <v>9</v>
      </c>
      <c r="F153" s="114" t="s">
        <v>10</v>
      </c>
      <c r="G153" s="228" t="s">
        <v>38</v>
      </c>
      <c r="H153" s="228"/>
    </row>
    <row r="154" spans="1:8" x14ac:dyDescent="0.35">
      <c r="A154" s="102"/>
      <c r="B154" s="102"/>
      <c r="C154" s="102"/>
      <c r="D154" s="102"/>
      <c r="E154" s="114"/>
      <c r="F154" s="114"/>
      <c r="G154" s="114" t="s">
        <v>9</v>
      </c>
      <c r="H154" s="114" t="s">
        <v>10</v>
      </c>
    </row>
    <row r="155" spans="1:8" x14ac:dyDescent="0.35">
      <c r="A155" s="199">
        <v>39052</v>
      </c>
      <c r="B155" s="196"/>
      <c r="C155" s="196" t="s">
        <v>35</v>
      </c>
      <c r="D155" s="198"/>
      <c r="E155" s="237"/>
      <c r="F155" s="238"/>
      <c r="G155" s="234">
        <f>VLOOKUP(C150,'MASTER AKUN'!A28:D83,4,FALSE)</f>
        <v>0</v>
      </c>
      <c r="H155" s="235">
        <f>VLOOKUP(C150,'MASTER AKUN'!A28:E83,5,FALSE)</f>
        <v>0</v>
      </c>
    </row>
    <row r="156" spans="1:8" x14ac:dyDescent="0.35">
      <c r="A156" s="195">
        <v>39082</v>
      </c>
      <c r="B156" s="196"/>
      <c r="C156" s="196" t="s">
        <v>291</v>
      </c>
      <c r="D156" s="198"/>
      <c r="E156" s="234">
        <f ca="1">SUMIF('JURNAL UMUM'!$A$5:$G$101,'BUKU BESAR'!C150,'JURNAL UMUM'!$F$5:$F$101)</f>
        <v>0</v>
      </c>
      <c r="F156" s="234">
        <f ca="1">SUMIF('JURNAL UMUM'!$A$5:$G$101,'BUKU BESAR'!C150,'JURNAL UMUM'!$G$5:$G$101)</f>
        <v>0</v>
      </c>
      <c r="G156" s="234">
        <f ca="1">IF(G155+E156&gt;H155+F156,((G155+E156)-(H155+F156)),0)</f>
        <v>0</v>
      </c>
      <c r="H156" s="236">
        <f ca="1">IF(H155+F156&gt;G155+E156,((H155+F156)-(G155+E156)),0)</f>
        <v>0</v>
      </c>
    </row>
    <row r="158" spans="1:8" x14ac:dyDescent="0.35">
      <c r="A158" s="32" t="s">
        <v>39</v>
      </c>
      <c r="C158" s="158" t="s">
        <v>202</v>
      </c>
    </row>
    <row r="159" spans="1:8" x14ac:dyDescent="0.35">
      <c r="A159" s="32" t="s">
        <v>40</v>
      </c>
      <c r="C159" s="32" t="str">
        <f>VLOOKUP(C158,'MASTER AKUN'!A4:B59,2,FALSE)</f>
        <v>Hutang Pajak</v>
      </c>
    </row>
    <row r="161" spans="1:8" x14ac:dyDescent="0.35">
      <c r="A161" s="102" t="s">
        <v>19</v>
      </c>
      <c r="B161" s="102" t="s">
        <v>36</v>
      </c>
      <c r="C161" s="102" t="s">
        <v>37</v>
      </c>
      <c r="D161" s="102" t="s">
        <v>8</v>
      </c>
      <c r="E161" s="114" t="s">
        <v>9</v>
      </c>
      <c r="F161" s="114" t="s">
        <v>10</v>
      </c>
      <c r="G161" s="228" t="s">
        <v>38</v>
      </c>
      <c r="H161" s="228"/>
    </row>
    <row r="162" spans="1:8" x14ac:dyDescent="0.35">
      <c r="A162" s="102"/>
      <c r="B162" s="102"/>
      <c r="C162" s="102"/>
      <c r="D162" s="102"/>
      <c r="E162" s="114"/>
      <c r="F162" s="114"/>
      <c r="G162" s="114" t="s">
        <v>9</v>
      </c>
      <c r="H162" s="114" t="s">
        <v>10</v>
      </c>
    </row>
    <row r="163" spans="1:8" x14ac:dyDescent="0.35">
      <c r="A163" s="199">
        <v>39052</v>
      </c>
      <c r="B163" s="196"/>
      <c r="C163" s="196" t="s">
        <v>35</v>
      </c>
      <c r="D163" s="198"/>
      <c r="E163" s="237"/>
      <c r="F163" s="238"/>
      <c r="G163" s="234">
        <f>VLOOKUP(C158,'MASTER AKUN'!A4:D58,4,FALSE)</f>
        <v>0</v>
      </c>
      <c r="H163" s="235">
        <f>VLOOKUP(C158,'MASTER AKUN'!A5:E58,5,FALSE)</f>
        <v>0</v>
      </c>
    </row>
    <row r="164" spans="1:8" x14ac:dyDescent="0.35">
      <c r="A164" s="195">
        <v>39082</v>
      </c>
      <c r="B164" s="196"/>
      <c r="C164" s="196" t="s">
        <v>291</v>
      </c>
      <c r="D164" s="198"/>
      <c r="E164" s="234">
        <f ca="1">SUMIF('JURNAL UMUM'!$A$5:$G$101,'BUKU BESAR'!C158,'JURNAL UMUM'!$F$5:$F$101)</f>
        <v>0</v>
      </c>
      <c r="F164" s="234">
        <f ca="1">SUMIF('JURNAL UMUM'!$A$5:$G$101,'BUKU BESAR'!C158,'JURNAL UMUM'!$G$5:$G$101)</f>
        <v>0</v>
      </c>
      <c r="G164" s="234">
        <f ca="1">IF(G163+E164&gt;H163+F164,((G163+E164)-(H163+F164)),0)</f>
        <v>0</v>
      </c>
      <c r="H164" s="236">
        <f ca="1">IF(H163+F164&gt;G163+E164,((H163+F164)-(G163+E164)),0)</f>
        <v>0</v>
      </c>
    </row>
    <row r="166" spans="1:8" x14ac:dyDescent="0.35">
      <c r="A166" s="32" t="s">
        <v>39</v>
      </c>
      <c r="C166" s="158" t="s">
        <v>203</v>
      </c>
    </row>
    <row r="167" spans="1:8" x14ac:dyDescent="0.35">
      <c r="A167" s="32" t="s">
        <v>40</v>
      </c>
      <c r="C167" s="32" t="str">
        <f>VLOOKUP(C166,'MASTER AKUN'!A4:B59,2,FALSE)</f>
        <v>Utang PPh pasal 21</v>
      </c>
    </row>
    <row r="169" spans="1:8" x14ac:dyDescent="0.35">
      <c r="A169" s="102" t="s">
        <v>19</v>
      </c>
      <c r="B169" s="102" t="s">
        <v>36</v>
      </c>
      <c r="C169" s="102" t="s">
        <v>37</v>
      </c>
      <c r="D169" s="102" t="s">
        <v>8</v>
      </c>
      <c r="E169" s="114" t="s">
        <v>9</v>
      </c>
      <c r="F169" s="114" t="s">
        <v>10</v>
      </c>
      <c r="G169" s="228" t="s">
        <v>38</v>
      </c>
      <c r="H169" s="228"/>
    </row>
    <row r="170" spans="1:8" x14ac:dyDescent="0.35">
      <c r="A170" s="102"/>
      <c r="B170" s="102"/>
      <c r="C170" s="102"/>
      <c r="D170" s="102"/>
      <c r="E170" s="114"/>
      <c r="F170" s="114"/>
      <c r="G170" s="114" t="s">
        <v>9</v>
      </c>
      <c r="H170" s="114" t="s">
        <v>10</v>
      </c>
    </row>
    <row r="171" spans="1:8" x14ac:dyDescent="0.35">
      <c r="A171" s="199">
        <v>39052</v>
      </c>
      <c r="B171" s="196"/>
      <c r="C171" s="196" t="s">
        <v>35</v>
      </c>
      <c r="D171" s="198"/>
      <c r="E171" s="237"/>
      <c r="F171" s="238"/>
      <c r="G171" s="234">
        <f>VLOOKUP(C166,'MASTER AKUN'!A12:D66,4,FALSE)</f>
        <v>0</v>
      </c>
      <c r="H171" s="235">
        <f>VLOOKUP(C166,'MASTER AKUN'!A13:E66,5,FALSE)</f>
        <v>0</v>
      </c>
    </row>
    <row r="172" spans="1:8" x14ac:dyDescent="0.35">
      <c r="A172" s="195">
        <v>39082</v>
      </c>
      <c r="B172" s="196"/>
      <c r="C172" s="196" t="s">
        <v>291</v>
      </c>
      <c r="D172" s="198"/>
      <c r="E172" s="234">
        <f ca="1">SUMIF('JURNAL UMUM'!$A$5:$G$101,'BUKU BESAR'!C166,'JURNAL UMUM'!$F$5:$F$101)</f>
        <v>0</v>
      </c>
      <c r="F172" s="234">
        <f ca="1">SUMIF('JURNAL UMUM'!$A$5:$G$101,'BUKU BESAR'!C166,'JURNAL UMUM'!$G$5:$G$101)</f>
        <v>725000</v>
      </c>
      <c r="G172" s="234">
        <f ca="1">IF(G171+E172&gt;H171+F172,((G171+E172)-(H171+F172)),0)</f>
        <v>0</v>
      </c>
      <c r="H172" s="236">
        <f ca="1">IF(H171+F172&gt;G171+E172,((H171+F172)-(G171+E172)),0)</f>
        <v>725000</v>
      </c>
    </row>
    <row r="174" spans="1:8" x14ac:dyDescent="0.35">
      <c r="A174" s="32" t="s">
        <v>39</v>
      </c>
      <c r="C174" s="158" t="s">
        <v>204</v>
      </c>
    </row>
    <row r="175" spans="1:8" x14ac:dyDescent="0.35">
      <c r="A175" s="32" t="s">
        <v>40</v>
      </c>
      <c r="C175" s="32" t="str">
        <f>VLOOKUP(C174,'MASTER AKUN'!A12:B67,2,FALSE)</f>
        <v>Utang PPh Pasal 4</v>
      </c>
    </row>
    <row r="177" spans="1:8" x14ac:dyDescent="0.35">
      <c r="A177" s="102" t="s">
        <v>19</v>
      </c>
      <c r="B177" s="102" t="s">
        <v>36</v>
      </c>
      <c r="C177" s="102" t="s">
        <v>37</v>
      </c>
      <c r="D177" s="102" t="s">
        <v>8</v>
      </c>
      <c r="E177" s="114" t="s">
        <v>9</v>
      </c>
      <c r="F177" s="114" t="s">
        <v>10</v>
      </c>
      <c r="G177" s="228" t="s">
        <v>38</v>
      </c>
      <c r="H177" s="228"/>
    </row>
    <row r="178" spans="1:8" x14ac:dyDescent="0.35">
      <c r="A178" s="102"/>
      <c r="B178" s="102"/>
      <c r="C178" s="102"/>
      <c r="D178" s="102"/>
      <c r="E178" s="114"/>
      <c r="F178" s="114"/>
      <c r="G178" s="114" t="s">
        <v>9</v>
      </c>
      <c r="H178" s="114" t="s">
        <v>10</v>
      </c>
    </row>
    <row r="179" spans="1:8" x14ac:dyDescent="0.35">
      <c r="A179" s="199">
        <v>39052</v>
      </c>
      <c r="B179" s="196"/>
      <c r="C179" s="196" t="s">
        <v>35</v>
      </c>
      <c r="D179" s="198"/>
      <c r="E179" s="237"/>
      <c r="F179" s="238"/>
      <c r="G179" s="234">
        <f>VLOOKUP(C174,'MASTER AKUN'!A20:D74,4,FALSE)</f>
        <v>0</v>
      </c>
      <c r="H179" s="235">
        <f>VLOOKUP(C174,'MASTER AKUN'!A21:E74,5,FALSE)</f>
        <v>0</v>
      </c>
    </row>
    <row r="180" spans="1:8" x14ac:dyDescent="0.35">
      <c r="A180" s="195">
        <v>39082</v>
      </c>
      <c r="B180" s="196"/>
      <c r="C180" s="196" t="s">
        <v>291</v>
      </c>
      <c r="D180" s="198"/>
      <c r="E180" s="234">
        <f ca="1">SUMIF('JURNAL UMUM'!$A$5:$G$101,'BUKU BESAR'!C174,'JURNAL UMUM'!$F$5:$F$101)</f>
        <v>0</v>
      </c>
      <c r="F180" s="234">
        <f ca="1">SUMIF('JURNAL UMUM'!$A$5:$G$101,'BUKU BESAR'!C174,'JURNAL UMUM'!$G$5:$G$101)</f>
        <v>250000</v>
      </c>
      <c r="G180" s="234">
        <f ca="1">IF(G179+E180&gt;H179+F180,((G179+E180)-(H179+F180)),0)</f>
        <v>0</v>
      </c>
      <c r="H180" s="236">
        <f ca="1">IF(H179+F180&gt;G179+E180,((H179+F180)-(G179+E180)),0)</f>
        <v>250000</v>
      </c>
    </row>
    <row r="182" spans="1:8" x14ac:dyDescent="0.35">
      <c r="A182" s="32" t="s">
        <v>39</v>
      </c>
      <c r="C182" s="158" t="s">
        <v>205</v>
      </c>
    </row>
    <row r="183" spans="1:8" x14ac:dyDescent="0.35">
      <c r="A183" s="32" t="s">
        <v>40</v>
      </c>
      <c r="C183" s="32" t="str">
        <f>VLOOKUP(C182,'MASTER AKUN'!A20:B75,2,FALSE)</f>
        <v>PPN Keluaran</v>
      </c>
    </row>
    <row r="185" spans="1:8" x14ac:dyDescent="0.35">
      <c r="A185" s="102" t="s">
        <v>19</v>
      </c>
      <c r="B185" s="102" t="s">
        <v>36</v>
      </c>
      <c r="C185" s="102" t="s">
        <v>37</v>
      </c>
      <c r="D185" s="102" t="s">
        <v>8</v>
      </c>
      <c r="E185" s="114" t="s">
        <v>9</v>
      </c>
      <c r="F185" s="114" t="s">
        <v>10</v>
      </c>
      <c r="G185" s="228" t="s">
        <v>38</v>
      </c>
      <c r="H185" s="228"/>
    </row>
    <row r="186" spans="1:8" x14ac:dyDescent="0.35">
      <c r="A186" s="102"/>
      <c r="B186" s="102"/>
      <c r="C186" s="102"/>
      <c r="D186" s="102"/>
      <c r="E186" s="114"/>
      <c r="F186" s="114"/>
      <c r="G186" s="114" t="s">
        <v>9</v>
      </c>
      <c r="H186" s="114" t="s">
        <v>10</v>
      </c>
    </row>
    <row r="187" spans="1:8" x14ac:dyDescent="0.35">
      <c r="A187" s="199">
        <v>39052</v>
      </c>
      <c r="B187" s="196"/>
      <c r="C187" s="196" t="s">
        <v>35</v>
      </c>
      <c r="D187" s="198"/>
      <c r="E187" s="237"/>
      <c r="F187" s="238"/>
      <c r="G187" s="234">
        <f>VLOOKUP(C182,'MASTER AKUN'!A28:D82,4,FALSE)</f>
        <v>0</v>
      </c>
      <c r="H187" s="235">
        <f>VLOOKUP(C182,'MASTER AKUN'!A29:E82,5,FALSE)</f>
        <v>0</v>
      </c>
    </row>
    <row r="188" spans="1:8" x14ac:dyDescent="0.35">
      <c r="A188" s="195">
        <v>39082</v>
      </c>
      <c r="B188" s="196"/>
      <c r="C188" s="196" t="s">
        <v>291</v>
      </c>
      <c r="D188" s="198"/>
      <c r="E188" s="234">
        <f ca="1">SUMIF('JURNAL UMUM'!$A$5:$G$101,'BUKU BESAR'!C182,'JURNAL UMUM'!$F$5:$F$101)</f>
        <v>212500</v>
      </c>
      <c r="F188" s="234">
        <f ca="1">SUMIF('JURNAL UMUM'!$A$5:$G$101,'BUKU BESAR'!C182,'JURNAL UMUM'!$G$5:$G$101)</f>
        <v>14182250</v>
      </c>
      <c r="G188" s="234">
        <f ca="1">IF(G187+E188&gt;H187+F188,((G187+E188)-(H187+F188)),0)</f>
        <v>0</v>
      </c>
      <c r="H188" s="236">
        <f ca="1">IF(H187+F188&gt;G187+E188,((H187+F188)-(G187+E188)),0)</f>
        <v>13969750</v>
      </c>
    </row>
    <row r="190" spans="1:8" x14ac:dyDescent="0.35">
      <c r="A190" s="32" t="s">
        <v>39</v>
      </c>
      <c r="C190" s="158" t="s">
        <v>207</v>
      </c>
    </row>
    <row r="191" spans="1:8" x14ac:dyDescent="0.35">
      <c r="A191" s="32" t="s">
        <v>40</v>
      </c>
      <c r="C191" s="32" t="str">
        <f>VLOOKUP(C190,'MASTER AKUN'!A28:B83,2,FALSE)</f>
        <v>Hutang Bank Mandiri</v>
      </c>
    </row>
    <row r="193" spans="1:8" x14ac:dyDescent="0.35">
      <c r="A193" s="102" t="s">
        <v>19</v>
      </c>
      <c r="B193" s="102" t="s">
        <v>36</v>
      </c>
      <c r="C193" s="102" t="s">
        <v>37</v>
      </c>
      <c r="D193" s="102" t="s">
        <v>8</v>
      </c>
      <c r="E193" s="114" t="s">
        <v>9</v>
      </c>
      <c r="F193" s="114" t="s">
        <v>10</v>
      </c>
      <c r="G193" s="228" t="s">
        <v>38</v>
      </c>
      <c r="H193" s="228"/>
    </row>
    <row r="194" spans="1:8" x14ac:dyDescent="0.35">
      <c r="A194" s="102"/>
      <c r="B194" s="102"/>
      <c r="C194" s="102"/>
      <c r="D194" s="102"/>
      <c r="E194" s="114"/>
      <c r="F194" s="114"/>
      <c r="G194" s="114" t="s">
        <v>9</v>
      </c>
      <c r="H194" s="114" t="s">
        <v>10</v>
      </c>
    </row>
    <row r="195" spans="1:8" x14ac:dyDescent="0.35">
      <c r="A195" s="199">
        <v>39052</v>
      </c>
      <c r="B195" s="196"/>
      <c r="C195" s="196" t="s">
        <v>35</v>
      </c>
      <c r="D195" s="198"/>
      <c r="E195" s="237"/>
      <c r="F195" s="238"/>
      <c r="G195" s="234">
        <f>VLOOKUP(C190,'MASTER AKUN'!A4:D58,4,FALSE)</f>
        <v>0</v>
      </c>
      <c r="H195" s="235">
        <f>VLOOKUP(C190,'MASTER AKUN'!A4:E59,5,FALSE)</f>
        <v>75000000</v>
      </c>
    </row>
    <row r="196" spans="1:8" x14ac:dyDescent="0.35">
      <c r="A196" s="195">
        <v>39082</v>
      </c>
      <c r="B196" s="196"/>
      <c r="C196" s="196" t="s">
        <v>291</v>
      </c>
      <c r="D196" s="198"/>
      <c r="E196" s="234">
        <f ca="1">SUMIF('JURNAL UMUM'!$A$5:$G$101,'BUKU BESAR'!C190,'JURNAL UMUM'!$F$5:$F$101)</f>
        <v>0</v>
      </c>
      <c r="F196" s="234">
        <f ca="1">SUMIF('JURNAL UMUM'!$A$5:$G$101,'BUKU BESAR'!C190,'JURNAL UMUM'!$G$5:$G$101)</f>
        <v>0</v>
      </c>
      <c r="G196" s="234">
        <f ca="1">IF(G195+E196&gt;H195+F196,((G195+E196)-(H195+F196)),0)</f>
        <v>0</v>
      </c>
      <c r="H196" s="236">
        <f ca="1">IF(H195+F196&gt;G195+E196,((H195+F196)-(G195+E196)),0)</f>
        <v>75000000</v>
      </c>
    </row>
    <row r="198" spans="1:8" x14ac:dyDescent="0.35">
      <c r="A198" s="32" t="s">
        <v>39</v>
      </c>
      <c r="C198" s="158" t="s">
        <v>190</v>
      </c>
    </row>
    <row r="199" spans="1:8" x14ac:dyDescent="0.35">
      <c r="A199" s="32" t="s">
        <v>40</v>
      </c>
      <c r="C199" s="32" t="str">
        <f>VLOOKUP(C198,'MASTER AKUN'!A36:B91,2,FALSE)</f>
        <v xml:space="preserve">Modal Saham </v>
      </c>
    </row>
    <row r="201" spans="1:8" x14ac:dyDescent="0.35">
      <c r="A201" s="102" t="s">
        <v>19</v>
      </c>
      <c r="B201" s="102" t="s">
        <v>36</v>
      </c>
      <c r="C201" s="102" t="s">
        <v>37</v>
      </c>
      <c r="D201" s="102" t="s">
        <v>8</v>
      </c>
      <c r="E201" s="114" t="s">
        <v>9</v>
      </c>
      <c r="F201" s="114" t="s">
        <v>10</v>
      </c>
      <c r="G201" s="228" t="s">
        <v>38</v>
      </c>
      <c r="H201" s="228"/>
    </row>
    <row r="202" spans="1:8" x14ac:dyDescent="0.35">
      <c r="A202" s="102"/>
      <c r="B202" s="102"/>
      <c r="C202" s="102"/>
      <c r="D202" s="102"/>
      <c r="E202" s="114"/>
      <c r="F202" s="114"/>
      <c r="G202" s="114" t="s">
        <v>9</v>
      </c>
      <c r="H202" s="114" t="s">
        <v>10</v>
      </c>
    </row>
    <row r="203" spans="1:8" x14ac:dyDescent="0.35">
      <c r="A203" s="199">
        <v>39052</v>
      </c>
      <c r="B203" s="196"/>
      <c r="C203" s="196" t="s">
        <v>35</v>
      </c>
      <c r="D203" s="198"/>
      <c r="E203" s="237"/>
      <c r="F203" s="238"/>
      <c r="G203" s="234">
        <f>VLOOKUP(C198,'MASTER AKUN'!A12:D66,4,FALSE)</f>
        <v>0</v>
      </c>
      <c r="H203" s="235">
        <f>VLOOKUP(C198,'MASTER AKUN'!A12:E67,5,FALSE)</f>
        <v>150000000</v>
      </c>
    </row>
    <row r="204" spans="1:8" x14ac:dyDescent="0.35">
      <c r="A204" s="195">
        <v>39082</v>
      </c>
      <c r="B204" s="196"/>
      <c r="C204" s="196" t="s">
        <v>291</v>
      </c>
      <c r="D204" s="198"/>
      <c r="E204" s="234">
        <f ca="1">SUMIF('JURNAL UMUM'!$A$5:$G$101,'BUKU BESAR'!C198,'JURNAL UMUM'!$F$5:$F$101)</f>
        <v>0</v>
      </c>
      <c r="F204" s="234">
        <f ca="1">SUMIF('JURNAL UMUM'!$A$5:$G$101,'BUKU BESAR'!C198,'JURNAL UMUM'!$G$5:$G$101)</f>
        <v>0</v>
      </c>
      <c r="G204" s="234">
        <f ca="1">IF(G203+E204&gt;H203+F204,((G203+E204)-(H203+F204)),0)</f>
        <v>0</v>
      </c>
      <c r="H204" s="236">
        <f ca="1">IF(H203+F204&gt;G203+E204,((H203+F204)-(G203+E204)),0)</f>
        <v>150000000</v>
      </c>
    </row>
    <row r="206" spans="1:8" x14ac:dyDescent="0.35">
      <c r="A206" s="32" t="s">
        <v>39</v>
      </c>
      <c r="C206" s="154" t="s">
        <v>208</v>
      </c>
    </row>
    <row r="207" spans="1:8" x14ac:dyDescent="0.35">
      <c r="A207" s="32" t="s">
        <v>40</v>
      </c>
      <c r="C207" s="32" t="str">
        <f>VLOOKUP(C206,'MASTER AKUN'!A23:B57,2,FALSE)</f>
        <v>Laba Ditahan Periode Lalu</v>
      </c>
    </row>
    <row r="209" spans="1:8" x14ac:dyDescent="0.35">
      <c r="A209" s="102" t="s">
        <v>19</v>
      </c>
      <c r="B209" s="102" t="s">
        <v>36</v>
      </c>
      <c r="C209" s="102" t="s">
        <v>37</v>
      </c>
      <c r="D209" s="102" t="s">
        <v>8</v>
      </c>
      <c r="E209" s="114" t="s">
        <v>9</v>
      </c>
      <c r="F209" s="114" t="s">
        <v>10</v>
      </c>
      <c r="G209" s="228" t="s">
        <v>38</v>
      </c>
      <c r="H209" s="228"/>
    </row>
    <row r="210" spans="1:8" x14ac:dyDescent="0.35">
      <c r="A210" s="102"/>
      <c r="B210" s="102"/>
      <c r="C210" s="102"/>
      <c r="D210" s="102"/>
      <c r="E210" s="114"/>
      <c r="F210" s="114"/>
      <c r="G210" s="114" t="s">
        <v>9</v>
      </c>
      <c r="H210" s="114" t="s">
        <v>10</v>
      </c>
    </row>
    <row r="211" spans="1:8" x14ac:dyDescent="0.35">
      <c r="A211" s="199">
        <v>39052</v>
      </c>
      <c r="B211" s="196"/>
      <c r="C211" s="196" t="s">
        <v>35</v>
      </c>
      <c r="D211" s="198"/>
      <c r="E211" s="237"/>
      <c r="F211" s="238"/>
      <c r="G211" s="234">
        <f>VLOOKUP(C206,'MASTER AKUN'!A20:D74,4,FALSE)</f>
        <v>0</v>
      </c>
      <c r="H211" s="235">
        <f>VLOOKUP(C206,'MASTER AKUN'!A20:E75,5,FALSE)</f>
        <v>24630000</v>
      </c>
    </row>
    <row r="212" spans="1:8" x14ac:dyDescent="0.35">
      <c r="A212" s="195">
        <v>39082</v>
      </c>
      <c r="B212" s="196"/>
      <c r="C212" s="196" t="s">
        <v>291</v>
      </c>
      <c r="D212" s="198"/>
      <c r="E212" s="234">
        <f ca="1">SUMIF('JURNAL UMUM'!$A$5:$G$101,'BUKU BESAR'!C206,'JURNAL UMUM'!$F$5:$F$101)</f>
        <v>0</v>
      </c>
      <c r="F212" s="234">
        <f ca="1">SUMIF('JURNAL UMUM'!$A$5:$G$101,'BUKU BESAR'!C206,'JURNAL UMUM'!$G$5:$G$101)</f>
        <v>0</v>
      </c>
      <c r="G212" s="234">
        <f ca="1">IF(G211+E212&gt;H211+F212,((G211+E212)-(H211+F212)),0)</f>
        <v>0</v>
      </c>
      <c r="H212" s="236">
        <f ca="1">IF(H211+F212&gt;G211+E212,((H211+F212)-(G211+E212)),0)</f>
        <v>24630000</v>
      </c>
    </row>
    <row r="214" spans="1:8" x14ac:dyDescent="0.35">
      <c r="A214" s="32" t="s">
        <v>39</v>
      </c>
      <c r="C214" s="154" t="s">
        <v>208</v>
      </c>
    </row>
    <row r="215" spans="1:8" x14ac:dyDescent="0.35">
      <c r="A215" s="32" t="s">
        <v>40</v>
      </c>
      <c r="C215" s="32" t="str">
        <f>VLOOKUP(C214,'MASTER AKUN'!A31:B65,2,FALSE)</f>
        <v>Laba Ditahan Periode Lalu</v>
      </c>
    </row>
    <row r="217" spans="1:8" x14ac:dyDescent="0.35">
      <c r="A217" s="102" t="s">
        <v>19</v>
      </c>
      <c r="B217" s="102" t="s">
        <v>36</v>
      </c>
      <c r="C217" s="102" t="s">
        <v>37</v>
      </c>
      <c r="D217" s="102" t="s">
        <v>8</v>
      </c>
      <c r="E217" s="114" t="s">
        <v>9</v>
      </c>
      <c r="F217" s="114" t="s">
        <v>10</v>
      </c>
      <c r="G217" s="228" t="s">
        <v>38</v>
      </c>
      <c r="H217" s="228"/>
    </row>
    <row r="218" spans="1:8" x14ac:dyDescent="0.35">
      <c r="A218" s="102"/>
      <c r="B218" s="102"/>
      <c r="C218" s="102"/>
      <c r="D218" s="102"/>
      <c r="E218" s="114"/>
      <c r="F218" s="114"/>
      <c r="G218" s="114" t="s">
        <v>9</v>
      </c>
      <c r="H218" s="114" t="s">
        <v>10</v>
      </c>
    </row>
    <row r="219" spans="1:8" x14ac:dyDescent="0.35">
      <c r="A219" s="199">
        <v>39052</v>
      </c>
      <c r="B219" s="196"/>
      <c r="C219" s="196" t="s">
        <v>35</v>
      </c>
      <c r="D219" s="198"/>
      <c r="E219" s="237"/>
      <c r="F219" s="238"/>
      <c r="G219" s="234">
        <f>VLOOKUP(C214,'MASTER AKUN'!A28:D82,4,FALSE)</f>
        <v>0</v>
      </c>
      <c r="H219" s="235">
        <f>VLOOKUP(C214,'MASTER AKUN'!A28:E83,5,FALSE)</f>
        <v>24630000</v>
      </c>
    </row>
    <row r="220" spans="1:8" x14ac:dyDescent="0.35">
      <c r="A220" s="195">
        <v>39082</v>
      </c>
      <c r="B220" s="196"/>
      <c r="C220" s="196" t="s">
        <v>291</v>
      </c>
      <c r="D220" s="198"/>
      <c r="E220" s="234">
        <f ca="1">SUMIF('JURNAL UMUM'!$A$5:$G$101,'BUKU BESAR'!C214,'JURNAL UMUM'!$F$5:$F$101)</f>
        <v>0</v>
      </c>
      <c r="F220" s="234">
        <f ca="1">SUMIF('JURNAL UMUM'!$A$5:$G$101,'BUKU BESAR'!C214,'JURNAL UMUM'!$G$5:$G$101)</f>
        <v>0</v>
      </c>
      <c r="G220" s="234">
        <f ca="1">IF(G219+E220&gt;H219+F220,((G219+E220)-(H219+F220)),0)</f>
        <v>0</v>
      </c>
      <c r="H220" s="236">
        <f ca="1">IF(H219+F220&gt;G219+E220,((H219+F220)-(G219+E220)),0)</f>
        <v>24630000</v>
      </c>
    </row>
    <row r="222" spans="1:8" x14ac:dyDescent="0.35">
      <c r="A222" s="32" t="s">
        <v>39</v>
      </c>
      <c r="C222" s="154" t="s">
        <v>209</v>
      </c>
    </row>
    <row r="223" spans="1:8" x14ac:dyDescent="0.35">
      <c r="A223" s="32" t="s">
        <v>40</v>
      </c>
      <c r="C223" s="32" t="str">
        <f>VLOOKUP(C222,'MASTER AKUN'!A4:B59,2,FALSE)</f>
        <v>Laba Ditahan Periode Berjalan</v>
      </c>
    </row>
    <row r="225" spans="1:8" x14ac:dyDescent="0.35">
      <c r="A225" s="102" t="s">
        <v>19</v>
      </c>
      <c r="B225" s="102" t="s">
        <v>36</v>
      </c>
      <c r="C225" s="102" t="s">
        <v>37</v>
      </c>
      <c r="D225" s="102" t="s">
        <v>8</v>
      </c>
      <c r="E225" s="114" t="s">
        <v>9</v>
      </c>
      <c r="F225" s="114" t="s">
        <v>10</v>
      </c>
      <c r="G225" s="228" t="s">
        <v>38</v>
      </c>
      <c r="H225" s="228"/>
    </row>
    <row r="226" spans="1:8" x14ac:dyDescent="0.35">
      <c r="A226" s="102"/>
      <c r="B226" s="102"/>
      <c r="C226" s="102"/>
      <c r="D226" s="102"/>
      <c r="E226" s="114"/>
      <c r="F226" s="114"/>
      <c r="G226" s="114" t="s">
        <v>9</v>
      </c>
      <c r="H226" s="114" t="s">
        <v>10</v>
      </c>
    </row>
    <row r="227" spans="1:8" x14ac:dyDescent="0.35">
      <c r="A227" s="199">
        <v>39052</v>
      </c>
      <c r="B227" s="196"/>
      <c r="C227" s="196" t="s">
        <v>35</v>
      </c>
      <c r="D227" s="198"/>
      <c r="E227" s="237"/>
      <c r="F227" s="238"/>
      <c r="G227" s="234">
        <f>VLOOKUP(C222,'MASTER AKUN'!A36:D90,4,FALSE)</f>
        <v>0</v>
      </c>
      <c r="H227" s="235">
        <f>VLOOKUP(C222,'MASTER AKUN'!A36:E91,5,FALSE)</f>
        <v>0</v>
      </c>
    </row>
    <row r="228" spans="1:8" x14ac:dyDescent="0.35">
      <c r="A228" s="195">
        <v>39082</v>
      </c>
      <c r="B228" s="196"/>
      <c r="C228" s="196" t="s">
        <v>291</v>
      </c>
      <c r="D228" s="198"/>
      <c r="E228" s="234">
        <f ca="1">SUMIF('JURNAL UMUM'!$A$5:$G$101,'BUKU BESAR'!C222,'JURNAL UMUM'!$F$5:$F$101)</f>
        <v>0</v>
      </c>
      <c r="F228" s="234">
        <f ca="1">SUMIF('JURNAL UMUM'!$A$5:$G$101,'BUKU BESAR'!C222,'JURNAL UMUM'!$G$5:$G$101)</f>
        <v>0</v>
      </c>
      <c r="G228" s="234">
        <f ca="1">IF(G227+E228&gt;H227+F228,((G227+E228)-(H227+F228)),0)</f>
        <v>0</v>
      </c>
      <c r="H228" s="236">
        <f ca="1">IF(H227+F228&gt;G227+E228,((H227+F228)-(G227+E228)),0)</f>
        <v>0</v>
      </c>
    </row>
    <row r="230" spans="1:8" x14ac:dyDescent="0.35">
      <c r="A230" s="32" t="s">
        <v>39</v>
      </c>
      <c r="C230" s="154" t="s">
        <v>210</v>
      </c>
    </row>
    <row r="231" spans="1:8" x14ac:dyDescent="0.35">
      <c r="A231" s="32" t="s">
        <v>40</v>
      </c>
      <c r="C231" s="32" t="str">
        <f>VLOOKUP(C230,'MASTER AKUN'!A12:B67,2,FALSE)</f>
        <v>Perkiraan Penyeimbang</v>
      </c>
    </row>
    <row r="233" spans="1:8" x14ac:dyDescent="0.35">
      <c r="A233" s="102" t="s">
        <v>19</v>
      </c>
      <c r="B233" s="102" t="s">
        <v>36</v>
      </c>
      <c r="C233" s="102" t="s">
        <v>37</v>
      </c>
      <c r="D233" s="102" t="s">
        <v>8</v>
      </c>
      <c r="E233" s="114" t="s">
        <v>9</v>
      </c>
      <c r="F233" s="114" t="s">
        <v>10</v>
      </c>
      <c r="G233" s="228" t="s">
        <v>38</v>
      </c>
      <c r="H233" s="228"/>
    </row>
    <row r="234" spans="1:8" x14ac:dyDescent="0.35">
      <c r="A234" s="102"/>
      <c r="B234" s="102"/>
      <c r="C234" s="102"/>
      <c r="D234" s="102"/>
      <c r="E234" s="114"/>
      <c r="F234" s="114"/>
      <c r="G234" s="114" t="s">
        <v>9</v>
      </c>
      <c r="H234" s="114" t="s">
        <v>10</v>
      </c>
    </row>
    <row r="235" spans="1:8" x14ac:dyDescent="0.35">
      <c r="A235" s="199">
        <v>39052</v>
      </c>
      <c r="B235" s="196"/>
      <c r="C235" s="196" t="s">
        <v>35</v>
      </c>
      <c r="D235" s="198"/>
      <c r="E235" s="237"/>
      <c r="F235" s="238"/>
      <c r="G235" s="234">
        <f>VLOOKUP(C230,'MASTER AKUN'!A4:D59,4,FALSE)</f>
        <v>0</v>
      </c>
      <c r="H235" s="235">
        <f>VLOOKUP(C230,'MASTER AKUN'!A4:E59,5,FALSE)</f>
        <v>0</v>
      </c>
    </row>
    <row r="236" spans="1:8" x14ac:dyDescent="0.35">
      <c r="A236" s="195">
        <v>39082</v>
      </c>
      <c r="B236" s="196"/>
      <c r="C236" s="196" t="s">
        <v>291</v>
      </c>
      <c r="D236" s="198"/>
      <c r="E236" s="234">
        <f ca="1">SUMIF('JURNAL UMUM'!$A$5:$G$101,'BUKU BESAR'!C230,'JURNAL UMUM'!$F$5:$F$101)</f>
        <v>0</v>
      </c>
      <c r="F236" s="234">
        <f ca="1">SUMIF('JURNAL UMUM'!$A$5:$G$101,'BUKU BESAR'!C230,'JURNAL UMUM'!$G$5:$G$101)</f>
        <v>0</v>
      </c>
      <c r="G236" s="234">
        <f ca="1">IF(G235+E236&gt;H235+F236,((G235+E236)-(H235+F236)),0)</f>
        <v>0</v>
      </c>
      <c r="H236" s="236">
        <f ca="1">IF(H235+F236&gt;G235+E236,((H235+F236)-(G235+E236)),0)</f>
        <v>0</v>
      </c>
    </row>
    <row r="238" spans="1:8" x14ac:dyDescent="0.35">
      <c r="A238" s="32" t="s">
        <v>39</v>
      </c>
      <c r="C238" s="154" t="s">
        <v>1</v>
      </c>
    </row>
    <row r="239" spans="1:8" x14ac:dyDescent="0.35">
      <c r="A239" s="32" t="s">
        <v>40</v>
      </c>
      <c r="C239" s="32" t="str">
        <f>VLOOKUP(C238,'MASTER AKUN'!A20:B75,2,FALSE)</f>
        <v xml:space="preserve">Penjualan </v>
      </c>
    </row>
    <row r="241" spans="1:8" x14ac:dyDescent="0.35">
      <c r="A241" s="102" t="s">
        <v>19</v>
      </c>
      <c r="B241" s="102" t="s">
        <v>36</v>
      </c>
      <c r="C241" s="102" t="s">
        <v>37</v>
      </c>
      <c r="D241" s="102" t="s">
        <v>8</v>
      </c>
      <c r="E241" s="114" t="s">
        <v>9</v>
      </c>
      <c r="F241" s="114" t="s">
        <v>10</v>
      </c>
      <c r="G241" s="228" t="s">
        <v>38</v>
      </c>
      <c r="H241" s="228"/>
    </row>
    <row r="242" spans="1:8" x14ac:dyDescent="0.35">
      <c r="A242" s="102"/>
      <c r="B242" s="102"/>
      <c r="C242" s="102"/>
      <c r="D242" s="102"/>
      <c r="E242" s="114"/>
      <c r="F242" s="114"/>
      <c r="G242" s="114" t="s">
        <v>9</v>
      </c>
      <c r="H242" s="114" t="s">
        <v>10</v>
      </c>
    </row>
    <row r="243" spans="1:8" x14ac:dyDescent="0.35">
      <c r="A243" s="199">
        <v>39052</v>
      </c>
      <c r="B243" s="196"/>
      <c r="C243" s="196" t="s">
        <v>35</v>
      </c>
      <c r="D243" s="198"/>
      <c r="E243" s="237"/>
      <c r="F243" s="238"/>
      <c r="G243" s="234">
        <f>VLOOKUP(C238,'MASTER AKUN'!A12:D67,4,FALSE)</f>
        <v>0</v>
      </c>
      <c r="H243" s="235">
        <f>VLOOKUP(C238,'MASTER AKUN'!A12:E67,5,FALSE)</f>
        <v>0</v>
      </c>
    </row>
    <row r="244" spans="1:8" x14ac:dyDescent="0.35">
      <c r="A244" s="195">
        <v>39082</v>
      </c>
      <c r="B244" s="196"/>
      <c r="C244" s="196" t="s">
        <v>291</v>
      </c>
      <c r="D244" s="198"/>
      <c r="E244" s="234">
        <f ca="1">SUMIF('JURNAL UMUM'!$A$5:$G$101,'BUKU BESAR'!C238,'JURNAL UMUM'!$F$5:$F$101)</f>
        <v>0</v>
      </c>
      <c r="F244" s="234">
        <f ca="1">SUMIF('JURNAL UMUM'!$A$5:$G$101,'BUKU BESAR'!C238,'JURNAL UMUM'!$G$5:$G$101)</f>
        <v>141822500</v>
      </c>
      <c r="G244" s="234">
        <f ca="1">IF(G243+E244&gt;H243+F244,((G243+E244)-(H243+F244)),0)</f>
        <v>0</v>
      </c>
      <c r="H244" s="236">
        <f ca="1">IF(H243+F244&gt;G243+E244,((H243+F244)-(G243+E244)),0)</f>
        <v>141822500</v>
      </c>
    </row>
    <row r="246" spans="1:8" x14ac:dyDescent="0.35">
      <c r="A246" s="32" t="s">
        <v>39</v>
      </c>
      <c r="C246" s="154" t="s">
        <v>211</v>
      </c>
    </row>
    <row r="247" spans="1:8" x14ac:dyDescent="0.35">
      <c r="A247" s="32" t="s">
        <v>40</v>
      </c>
      <c r="C247" s="32" t="str">
        <f>VLOOKUP(C246,'MASTER AKUN'!A28:B83,2,FALSE)</f>
        <v>Retur penjualan</v>
      </c>
    </row>
    <row r="249" spans="1:8" x14ac:dyDescent="0.35">
      <c r="A249" s="102" t="s">
        <v>19</v>
      </c>
      <c r="B249" s="102" t="s">
        <v>36</v>
      </c>
      <c r="C249" s="102" t="s">
        <v>37</v>
      </c>
      <c r="D249" s="102" t="s">
        <v>8</v>
      </c>
      <c r="E249" s="114" t="s">
        <v>9</v>
      </c>
      <c r="F249" s="114" t="s">
        <v>10</v>
      </c>
      <c r="G249" s="228" t="s">
        <v>38</v>
      </c>
      <c r="H249" s="228"/>
    </row>
    <row r="250" spans="1:8" x14ac:dyDescent="0.35">
      <c r="A250" s="102"/>
      <c r="B250" s="102"/>
      <c r="C250" s="102"/>
      <c r="D250" s="102"/>
      <c r="E250" s="114"/>
      <c r="F250" s="114"/>
      <c r="G250" s="114" t="s">
        <v>9</v>
      </c>
      <c r="H250" s="114" t="s">
        <v>10</v>
      </c>
    </row>
    <row r="251" spans="1:8" x14ac:dyDescent="0.35">
      <c r="A251" s="199">
        <v>39052</v>
      </c>
      <c r="B251" s="196"/>
      <c r="C251" s="196" t="s">
        <v>35</v>
      </c>
      <c r="D251" s="198"/>
      <c r="E251" s="237"/>
      <c r="F251" s="238"/>
      <c r="G251" s="234">
        <f>VLOOKUP(C246,'MASTER AKUN'!A20:D75,4,FALSE)</f>
        <v>0</v>
      </c>
      <c r="H251" s="235">
        <f>VLOOKUP(C246,'MASTER AKUN'!A20:E75,5,FALSE)</f>
        <v>0</v>
      </c>
    </row>
    <row r="252" spans="1:8" x14ac:dyDescent="0.35">
      <c r="A252" s="195">
        <v>39082</v>
      </c>
      <c r="B252" s="196"/>
      <c r="C252" s="196" t="s">
        <v>291</v>
      </c>
      <c r="D252" s="198"/>
      <c r="E252" s="234">
        <f ca="1">SUMIF('JURNAL UMUM'!$A$5:$G$101,'BUKU BESAR'!C246,'JURNAL UMUM'!$F$5:$F$101)</f>
        <v>2125000</v>
      </c>
      <c r="F252" s="234">
        <f ca="1">SUMIF('JURNAL UMUM'!$A$5:$G$101,'BUKU BESAR'!C246,'JURNAL UMUM'!$G$5:$G$101)</f>
        <v>0</v>
      </c>
      <c r="G252" s="234">
        <f ca="1">IF(G251+E252&gt;H251+F252,((G251+E252)-(H251+F252)),0)</f>
        <v>2125000</v>
      </c>
      <c r="H252" s="236">
        <f ca="1">IF(H251+F252&gt;G251+E252,((H251+F252)-(G251+E252)),0)</f>
        <v>0</v>
      </c>
    </row>
    <row r="254" spans="1:8" x14ac:dyDescent="0.35">
      <c r="A254" s="32" t="s">
        <v>39</v>
      </c>
      <c r="C254" s="154" t="s">
        <v>212</v>
      </c>
    </row>
    <row r="255" spans="1:8" x14ac:dyDescent="0.35">
      <c r="A255" s="32" t="s">
        <v>40</v>
      </c>
      <c r="C255" s="32" t="str">
        <f>VLOOKUP(C254,'MASTER AKUN'!A36:B91,2,FALSE)</f>
        <v>Potongan Penjualan</v>
      </c>
    </row>
    <row r="257" spans="1:8" x14ac:dyDescent="0.35">
      <c r="A257" s="102" t="s">
        <v>19</v>
      </c>
      <c r="B257" s="102" t="s">
        <v>36</v>
      </c>
      <c r="C257" s="102" t="s">
        <v>37</v>
      </c>
      <c r="D257" s="102" t="s">
        <v>8</v>
      </c>
      <c r="E257" s="114" t="s">
        <v>9</v>
      </c>
      <c r="F257" s="114" t="s">
        <v>10</v>
      </c>
      <c r="G257" s="228" t="s">
        <v>38</v>
      </c>
      <c r="H257" s="228"/>
    </row>
    <row r="258" spans="1:8" x14ac:dyDescent="0.35">
      <c r="A258" s="102"/>
      <c r="B258" s="102"/>
      <c r="C258" s="102"/>
      <c r="D258" s="102"/>
      <c r="E258" s="114"/>
      <c r="F258" s="114"/>
      <c r="G258" s="114" t="s">
        <v>9</v>
      </c>
      <c r="H258" s="114" t="s">
        <v>10</v>
      </c>
    </row>
    <row r="259" spans="1:8" x14ac:dyDescent="0.35">
      <c r="A259" s="199">
        <v>39052</v>
      </c>
      <c r="B259" s="196"/>
      <c r="C259" s="196" t="s">
        <v>35</v>
      </c>
      <c r="D259" s="198"/>
      <c r="E259" s="237"/>
      <c r="F259" s="238"/>
      <c r="G259" s="234">
        <f>VLOOKUP(C254,'MASTER AKUN'!A4:D59,4,FALSE)</f>
        <v>0</v>
      </c>
      <c r="H259" s="235">
        <f>VLOOKUP(C254,'MASTER AKUN'!A4:E59,5,FALSE)</f>
        <v>0</v>
      </c>
    </row>
    <row r="260" spans="1:8" x14ac:dyDescent="0.35">
      <c r="A260" s="195">
        <v>39082</v>
      </c>
      <c r="B260" s="196"/>
      <c r="C260" s="196" t="s">
        <v>291</v>
      </c>
      <c r="D260" s="198"/>
      <c r="E260" s="234">
        <f ca="1">SUMIF('JURNAL UMUM'!$A$5:$G$101,'BUKU BESAR'!C254,'JURNAL UMUM'!$F$5:$F$101)</f>
        <v>950000</v>
      </c>
      <c r="F260" s="234">
        <f ca="1">SUMIF('JURNAL UMUM'!$A$5:$G$101,'BUKU BESAR'!C254,'JURNAL UMUM'!$G$5:$G$101)</f>
        <v>0</v>
      </c>
      <c r="G260" s="234">
        <f ca="1">IF(G259+E260&gt;H259+F260,((G259+E260)-(H259+F260)),0)</f>
        <v>950000</v>
      </c>
      <c r="H260" s="236">
        <f ca="1">IF(H259+F260&gt;G259+E260,((H259+F260)-(G259+E260)),0)</f>
        <v>0</v>
      </c>
    </row>
    <row r="262" spans="1:8" x14ac:dyDescent="0.35">
      <c r="A262" s="32" t="s">
        <v>39</v>
      </c>
      <c r="C262" s="41" t="s">
        <v>3</v>
      </c>
    </row>
    <row r="263" spans="1:8" x14ac:dyDescent="0.35">
      <c r="A263" s="32" t="s">
        <v>40</v>
      </c>
      <c r="C263" s="32" t="str">
        <f>VLOOKUP(C262,'MASTER AKUN'!A29:B59,2,FALSE)</f>
        <v>Harga Pokok Penjualan</v>
      </c>
    </row>
    <row r="265" spans="1:8" x14ac:dyDescent="0.35">
      <c r="A265" s="102" t="s">
        <v>19</v>
      </c>
      <c r="B265" s="102" t="s">
        <v>36</v>
      </c>
      <c r="C265" s="102" t="s">
        <v>37</v>
      </c>
      <c r="D265" s="102" t="s">
        <v>8</v>
      </c>
      <c r="E265" s="114" t="s">
        <v>9</v>
      </c>
      <c r="F265" s="114" t="s">
        <v>10</v>
      </c>
      <c r="G265" s="228" t="s">
        <v>38</v>
      </c>
      <c r="H265" s="228"/>
    </row>
    <row r="266" spans="1:8" x14ac:dyDescent="0.35">
      <c r="A266" s="102"/>
      <c r="B266" s="102"/>
      <c r="C266" s="102"/>
      <c r="D266" s="102"/>
      <c r="E266" s="114"/>
      <c r="F266" s="114"/>
      <c r="G266" s="114" t="s">
        <v>9</v>
      </c>
      <c r="H266" s="114" t="s">
        <v>10</v>
      </c>
    </row>
    <row r="267" spans="1:8" x14ac:dyDescent="0.35">
      <c r="A267" s="199">
        <v>39052</v>
      </c>
      <c r="B267" s="196"/>
      <c r="C267" s="196" t="s">
        <v>35</v>
      </c>
      <c r="D267" s="198"/>
      <c r="E267" s="237"/>
      <c r="F267" s="238"/>
      <c r="G267" s="234">
        <f>VLOOKUP(C262,'MASTER AKUN'!A36:D91,4,FALSE)</f>
        <v>0</v>
      </c>
      <c r="H267" s="235">
        <f>VLOOKUP(C262,'MASTER AKUN'!A36:E91,5,FALSE)</f>
        <v>0</v>
      </c>
    </row>
    <row r="268" spans="1:8" x14ac:dyDescent="0.35">
      <c r="A268" s="195">
        <v>39082</v>
      </c>
      <c r="B268" s="196"/>
      <c r="C268" s="196" t="s">
        <v>291</v>
      </c>
      <c r="D268" s="198"/>
      <c r="E268" s="234">
        <f ca="1">SUMIF('JURNAL UMUM'!$A$5:$G$101,'BUKU BESAR'!C262,'JURNAL UMUM'!$F$5:$F$100)</f>
        <v>118065000</v>
      </c>
      <c r="F268" s="234">
        <f ca="1">SUMIF('JURNAL UMUM'!$A$5:$G$101,'BUKU BESAR'!C262,'JURNAL UMUM'!$G$5:$G$101)</f>
        <v>1725000</v>
      </c>
      <c r="G268" s="234">
        <f ca="1">IF(G267+E268&gt;H267+F268,((G267+E268)-(H267+F268)),0)</f>
        <v>116340000</v>
      </c>
      <c r="H268" s="236">
        <f ca="1">IF(H267+F268&gt;G267+E268,((H267+F268)-(G267+E268)),0)</f>
        <v>0</v>
      </c>
    </row>
    <row r="270" spans="1:8" x14ac:dyDescent="0.35">
      <c r="A270" s="32" t="s">
        <v>39</v>
      </c>
      <c r="C270" s="154" t="s">
        <v>186</v>
      </c>
    </row>
    <row r="271" spans="1:8" x14ac:dyDescent="0.35">
      <c r="A271" s="32" t="s">
        <v>40</v>
      </c>
      <c r="C271" s="32" t="str">
        <f>VLOOKUP(C270,'MASTER AKUN'!A37:B67,2,FALSE)</f>
        <v>Beban Gaji Karyawan</v>
      </c>
    </row>
    <row r="273" spans="1:8" x14ac:dyDescent="0.35">
      <c r="A273" s="102" t="s">
        <v>19</v>
      </c>
      <c r="B273" s="102" t="s">
        <v>36</v>
      </c>
      <c r="C273" s="102" t="s">
        <v>37</v>
      </c>
      <c r="D273" s="102" t="s">
        <v>8</v>
      </c>
      <c r="E273" s="114" t="s">
        <v>9</v>
      </c>
      <c r="F273" s="114" t="s">
        <v>10</v>
      </c>
      <c r="G273" s="228" t="s">
        <v>38</v>
      </c>
      <c r="H273" s="228"/>
    </row>
    <row r="274" spans="1:8" x14ac:dyDescent="0.35">
      <c r="A274" s="102"/>
      <c r="B274" s="102"/>
      <c r="C274" s="102"/>
      <c r="D274" s="102"/>
      <c r="E274" s="114"/>
      <c r="F274" s="114"/>
      <c r="G274" s="114" t="s">
        <v>9</v>
      </c>
      <c r="H274" s="114" t="s">
        <v>10</v>
      </c>
    </row>
    <row r="275" spans="1:8" x14ac:dyDescent="0.35">
      <c r="A275" s="199">
        <v>39052</v>
      </c>
      <c r="B275" s="196"/>
      <c r="C275" s="196" t="s">
        <v>35</v>
      </c>
      <c r="D275" s="198"/>
      <c r="E275" s="237"/>
      <c r="F275" s="238"/>
      <c r="G275" s="234">
        <f>VLOOKUP(C270,'MASTER AKUN'!A44:D99,4,FALSE)</f>
        <v>0</v>
      </c>
      <c r="H275" s="235">
        <f>VLOOKUP(C270,'MASTER AKUN'!A44:E99,5,FALSE)</f>
        <v>0</v>
      </c>
    </row>
    <row r="276" spans="1:8" x14ac:dyDescent="0.35">
      <c r="A276" s="195">
        <v>39082</v>
      </c>
      <c r="B276" s="196"/>
      <c r="C276" s="196" t="s">
        <v>291</v>
      </c>
      <c r="D276" s="198"/>
      <c r="E276" s="234">
        <f ca="1">SUMIF('JURNAL UMUM'!$A$5:$G$101,'BUKU BESAR'!C270,'JURNAL UMUM'!$F$5:$F$101)</f>
        <v>14500000</v>
      </c>
      <c r="F276" s="234">
        <f ca="1">SUMIF('JURNAL UMUM'!$A$5:$G$101,'BUKU BESAR'!C270,'JURNAL UMUM'!$G$5:$G$101)</f>
        <v>0</v>
      </c>
      <c r="G276" s="234">
        <f ca="1">IF(G275+E276&gt;H275+F276,((G275+E276)-(H275+F276)),0)</f>
        <v>14500000</v>
      </c>
      <c r="H276" s="236">
        <f ca="1">IF(H275+F276&gt;G275+E276,((H275+F276)-(G275+E276)),0)</f>
        <v>0</v>
      </c>
    </row>
    <row r="278" spans="1:8" x14ac:dyDescent="0.35">
      <c r="A278" s="32" t="s">
        <v>39</v>
      </c>
      <c r="C278" s="154" t="s">
        <v>185</v>
      </c>
    </row>
    <row r="279" spans="1:8" x14ac:dyDescent="0.35">
      <c r="A279" s="32" t="s">
        <v>40</v>
      </c>
      <c r="C279" s="32" t="str">
        <f>VLOOKUP(C278,'MASTER AKUN'!A45:B75,2,FALSE)</f>
        <v>Beban Sewa</v>
      </c>
    </row>
    <row r="281" spans="1:8" x14ac:dyDescent="0.35">
      <c r="A281" s="102" t="s">
        <v>19</v>
      </c>
      <c r="B281" s="102" t="s">
        <v>36</v>
      </c>
      <c r="C281" s="102" t="s">
        <v>37</v>
      </c>
      <c r="D281" s="102" t="s">
        <v>8</v>
      </c>
      <c r="E281" s="114" t="s">
        <v>9</v>
      </c>
      <c r="F281" s="114" t="s">
        <v>10</v>
      </c>
      <c r="G281" s="228" t="s">
        <v>38</v>
      </c>
      <c r="H281" s="228"/>
    </row>
    <row r="282" spans="1:8" x14ac:dyDescent="0.35">
      <c r="A282" s="102"/>
      <c r="B282" s="102"/>
      <c r="C282" s="102"/>
      <c r="D282" s="102"/>
      <c r="E282" s="114"/>
      <c r="F282" s="114"/>
      <c r="G282" s="114" t="s">
        <v>9</v>
      </c>
      <c r="H282" s="114" t="s">
        <v>10</v>
      </c>
    </row>
    <row r="283" spans="1:8" x14ac:dyDescent="0.35">
      <c r="A283" s="199">
        <v>39052</v>
      </c>
      <c r="B283" s="196"/>
      <c r="C283" s="196" t="s">
        <v>35</v>
      </c>
      <c r="D283" s="198"/>
      <c r="E283" s="237"/>
      <c r="F283" s="238"/>
      <c r="G283" s="234">
        <f>VLOOKUP(C278,'MASTER AKUN'!A4:D59,4,FALSE)</f>
        <v>0</v>
      </c>
      <c r="H283" s="235">
        <f>VLOOKUP(C278,'MASTER AKUN'!A4:E59,5,FALSE)</f>
        <v>0</v>
      </c>
    </row>
    <row r="284" spans="1:8" x14ac:dyDescent="0.35">
      <c r="A284" s="195">
        <v>39082</v>
      </c>
      <c r="B284" s="196"/>
      <c r="C284" s="196" t="s">
        <v>291</v>
      </c>
      <c r="D284" s="198"/>
      <c r="E284" s="234">
        <f ca="1">SUMIF('JURNAL UMUM'!$A$5:$G$101,'BUKU BESAR'!C278,'JURNAL UMUM'!$F$5:$F$101)</f>
        <v>2750000</v>
      </c>
      <c r="F284" s="234">
        <f ca="1">SUMIF('JURNAL UMUM'!$A$5:$G$101,'BUKU BESAR'!C278,'JURNAL UMUM'!$G$5:$G$101)</f>
        <v>0</v>
      </c>
      <c r="G284" s="234">
        <f ca="1">IF(G283+E284&gt;H283+F284,((G283+E284)-(H283+F284)),0)</f>
        <v>2750000</v>
      </c>
      <c r="H284" s="236">
        <f ca="1">IF(H283+F284&gt;G283+E284,((H283+F284)-(G283+E284)),0)</f>
        <v>0</v>
      </c>
    </row>
    <row r="286" spans="1:8" x14ac:dyDescent="0.35">
      <c r="A286" s="32" t="s">
        <v>39</v>
      </c>
      <c r="C286" s="154" t="s">
        <v>292</v>
      </c>
    </row>
    <row r="287" spans="1:8" x14ac:dyDescent="0.35">
      <c r="A287" s="32" t="s">
        <v>40</v>
      </c>
      <c r="C287" s="32" t="str">
        <f>VLOOKUP(C286,'MASTER AKUN'!A4:B59,2,FALSE)</f>
        <v>Beban Piutang Tak Tertagih</v>
      </c>
    </row>
    <row r="289" spans="1:8" x14ac:dyDescent="0.35">
      <c r="A289" s="102" t="s">
        <v>19</v>
      </c>
      <c r="B289" s="102" t="s">
        <v>36</v>
      </c>
      <c r="C289" s="102" t="s">
        <v>37</v>
      </c>
      <c r="D289" s="102" t="s">
        <v>8</v>
      </c>
      <c r="E289" s="114" t="s">
        <v>9</v>
      </c>
      <c r="F289" s="114" t="s">
        <v>10</v>
      </c>
      <c r="G289" s="228" t="s">
        <v>38</v>
      </c>
      <c r="H289" s="228"/>
    </row>
    <row r="290" spans="1:8" x14ac:dyDescent="0.35">
      <c r="A290" s="102"/>
      <c r="B290" s="102"/>
      <c r="C290" s="102"/>
      <c r="D290" s="102"/>
      <c r="E290" s="114"/>
      <c r="F290" s="114"/>
      <c r="G290" s="114" t="s">
        <v>9</v>
      </c>
      <c r="H290" s="114" t="s">
        <v>10</v>
      </c>
    </row>
    <row r="291" spans="1:8" x14ac:dyDescent="0.35">
      <c r="A291" s="199">
        <v>39052</v>
      </c>
      <c r="B291" s="196"/>
      <c r="C291" s="196" t="s">
        <v>35</v>
      </c>
      <c r="D291" s="198"/>
      <c r="E291" s="237"/>
      <c r="F291" s="238"/>
      <c r="G291" s="234">
        <f>VLOOKUP(C286,'MASTER AKUN'!A12:D67,4,FALSE)</f>
        <v>0</v>
      </c>
      <c r="H291" s="235">
        <f>VLOOKUP(C286,'MASTER AKUN'!A12:E67,5,FALSE)</f>
        <v>0</v>
      </c>
    </row>
    <row r="292" spans="1:8" x14ac:dyDescent="0.35">
      <c r="A292" s="195">
        <v>39082</v>
      </c>
      <c r="B292" s="196"/>
      <c r="C292" s="196" t="s">
        <v>291</v>
      </c>
      <c r="D292" s="198"/>
      <c r="E292" s="234">
        <f ca="1">SUMIF('JURNAL UMUM'!$A$5:$G$101,'BUKU BESAR'!C286,'JURNAL UMUM'!$F$5:$F$101)</f>
        <v>0</v>
      </c>
      <c r="F292" s="234">
        <f ca="1">SUMIF('JURNAL UMUM'!$A$5:$G$101,'BUKU BESAR'!C286,'JURNAL UMUM'!$G$5:$G$101)</f>
        <v>0</v>
      </c>
      <c r="G292" s="234">
        <f ca="1">IF(G291+E292&gt;H291+F292,((G291+E292)-(H291+F292)),0)</f>
        <v>0</v>
      </c>
      <c r="H292" s="236">
        <f ca="1">IF(H291+F292&gt;G291+E292,((H291+F292)-(G291+E292)),0)</f>
        <v>0</v>
      </c>
    </row>
    <row r="294" spans="1:8" x14ac:dyDescent="0.35">
      <c r="A294" s="32" t="s">
        <v>39</v>
      </c>
      <c r="C294" s="154" t="s">
        <v>184</v>
      </c>
    </row>
    <row r="295" spans="1:8" x14ac:dyDescent="0.35">
      <c r="A295" s="32" t="s">
        <v>40</v>
      </c>
      <c r="C295" s="32" t="str">
        <f>VLOOKUP(C294,'MASTER AKUN'!A12:B67,2,FALSE)</f>
        <v>Beban Listrik</v>
      </c>
    </row>
    <row r="297" spans="1:8" x14ac:dyDescent="0.35">
      <c r="A297" s="102" t="s">
        <v>19</v>
      </c>
      <c r="B297" s="102" t="s">
        <v>36</v>
      </c>
      <c r="C297" s="102" t="s">
        <v>37</v>
      </c>
      <c r="D297" s="102" t="s">
        <v>8</v>
      </c>
      <c r="E297" s="114" t="s">
        <v>9</v>
      </c>
      <c r="F297" s="114" t="s">
        <v>10</v>
      </c>
      <c r="G297" s="228" t="s">
        <v>38</v>
      </c>
      <c r="H297" s="228"/>
    </row>
    <row r="298" spans="1:8" x14ac:dyDescent="0.35">
      <c r="A298" s="102"/>
      <c r="B298" s="102"/>
      <c r="C298" s="102"/>
      <c r="D298" s="102"/>
      <c r="E298" s="114"/>
      <c r="F298" s="114"/>
      <c r="G298" s="114" t="s">
        <v>9</v>
      </c>
      <c r="H298" s="114" t="s">
        <v>10</v>
      </c>
    </row>
    <row r="299" spans="1:8" x14ac:dyDescent="0.35">
      <c r="A299" s="199">
        <v>39052</v>
      </c>
      <c r="B299" s="196"/>
      <c r="C299" s="196" t="s">
        <v>35</v>
      </c>
      <c r="D299" s="198"/>
      <c r="E299" s="237"/>
      <c r="F299" s="238"/>
      <c r="G299" s="234">
        <f>VLOOKUP(C294,'MASTER AKUN'!A20:D75,4,FALSE)</f>
        <v>0</v>
      </c>
      <c r="H299" s="235">
        <f>VLOOKUP(C294,'MASTER AKUN'!A20:E75,5,FALSE)</f>
        <v>0</v>
      </c>
    </row>
    <row r="300" spans="1:8" x14ac:dyDescent="0.35">
      <c r="A300" s="195">
        <v>39082</v>
      </c>
      <c r="B300" s="196"/>
      <c r="C300" s="196" t="s">
        <v>291</v>
      </c>
      <c r="D300" s="198"/>
      <c r="E300" s="234">
        <f ca="1">SUMIF('JURNAL UMUM'!$A$5:$G$101,'BUKU BESAR'!C294,'JURNAL UMUM'!$F$5:$F$101)</f>
        <v>175000</v>
      </c>
      <c r="F300" s="234">
        <f ca="1">SUMIF('JURNAL UMUM'!$A$5:$G$101,'BUKU BESAR'!C294,'JURNAL UMUM'!$G$5:$G$101)</f>
        <v>0</v>
      </c>
      <c r="G300" s="234">
        <f ca="1">IF(G299+E300&gt;H299+F300,((G299+E300)-(H299+F300)),0)</f>
        <v>175000</v>
      </c>
      <c r="H300" s="236">
        <f ca="1">IF(H299+F300&gt;G299+E300,((H299+F300)-(G299+E300)),0)</f>
        <v>0</v>
      </c>
    </row>
    <row r="302" spans="1:8" x14ac:dyDescent="0.35">
      <c r="A302" s="32" t="s">
        <v>39</v>
      </c>
      <c r="C302" s="154" t="s">
        <v>183</v>
      </c>
    </row>
    <row r="303" spans="1:8" x14ac:dyDescent="0.35">
      <c r="A303" s="32" t="s">
        <v>40</v>
      </c>
      <c r="C303" s="32" t="str">
        <f>VLOOKUP(C302,'MASTER AKUN'!A20:B75,2,FALSE)</f>
        <v>Beban Telepon</v>
      </c>
    </row>
    <row r="305" spans="1:8" x14ac:dyDescent="0.35">
      <c r="A305" s="102" t="s">
        <v>19</v>
      </c>
      <c r="B305" s="102" t="s">
        <v>36</v>
      </c>
      <c r="C305" s="102" t="s">
        <v>37</v>
      </c>
      <c r="D305" s="102" t="s">
        <v>8</v>
      </c>
      <c r="E305" s="114" t="s">
        <v>9</v>
      </c>
      <c r="F305" s="114" t="s">
        <v>10</v>
      </c>
      <c r="G305" s="228" t="s">
        <v>38</v>
      </c>
      <c r="H305" s="228"/>
    </row>
    <row r="306" spans="1:8" x14ac:dyDescent="0.35">
      <c r="A306" s="102"/>
      <c r="B306" s="102"/>
      <c r="C306" s="102"/>
      <c r="D306" s="102"/>
      <c r="E306" s="114"/>
      <c r="F306" s="114"/>
      <c r="G306" s="114" t="s">
        <v>9</v>
      </c>
      <c r="H306" s="114" t="s">
        <v>10</v>
      </c>
    </row>
    <row r="307" spans="1:8" x14ac:dyDescent="0.35">
      <c r="A307" s="199">
        <v>39052</v>
      </c>
      <c r="B307" s="196"/>
      <c r="C307" s="196" t="s">
        <v>35</v>
      </c>
      <c r="D307" s="198"/>
      <c r="E307" s="237"/>
      <c r="F307" s="238"/>
      <c r="G307" s="234">
        <f>VLOOKUP(C302,'MASTER AKUN'!A28:D83,4,FALSE)</f>
        <v>0</v>
      </c>
      <c r="H307" s="235">
        <f>VLOOKUP(C302,'MASTER AKUN'!A28:E83,5,FALSE)</f>
        <v>0</v>
      </c>
    </row>
    <row r="308" spans="1:8" x14ac:dyDescent="0.35">
      <c r="A308" s="195">
        <v>39082</v>
      </c>
      <c r="B308" s="196"/>
      <c r="C308" s="196" t="s">
        <v>291</v>
      </c>
      <c r="D308" s="198"/>
      <c r="E308" s="234">
        <f ca="1">SUMIF('JURNAL UMUM'!$A$5:$G$101,'BUKU BESAR'!C302,'JURNAL UMUM'!$F$5:$F$101)</f>
        <v>212500</v>
      </c>
      <c r="F308" s="234">
        <f ca="1">SUMIF('JURNAL UMUM'!$A$5:$G$101,'BUKU BESAR'!C302,'JURNAL UMUM'!$G$5:$G$101)</f>
        <v>0</v>
      </c>
      <c r="G308" s="234">
        <f ca="1">IF(G307+E308&gt;H307+F308,((G307+E308)-(H307+F308)),0)</f>
        <v>212500</v>
      </c>
      <c r="H308" s="236">
        <f ca="1">IF(H307+F308&gt;G307+E308,((H307+F308)-(G307+E308)),0)</f>
        <v>0</v>
      </c>
    </row>
    <row r="310" spans="1:8" x14ac:dyDescent="0.35">
      <c r="A310" s="32" t="s">
        <v>39</v>
      </c>
      <c r="C310" s="154" t="s">
        <v>182</v>
      </c>
    </row>
    <row r="311" spans="1:8" x14ac:dyDescent="0.35">
      <c r="A311" s="32" t="s">
        <v>40</v>
      </c>
      <c r="C311" s="32" t="str">
        <f>VLOOKUP(C310,'MASTER AKUN'!A28:B83,2,FALSE)</f>
        <v>Beban Penyusutan peralatan Kantor</v>
      </c>
    </row>
    <row r="313" spans="1:8" x14ac:dyDescent="0.35">
      <c r="A313" s="102" t="s">
        <v>19</v>
      </c>
      <c r="B313" s="102" t="s">
        <v>36</v>
      </c>
      <c r="C313" s="102" t="s">
        <v>37</v>
      </c>
      <c r="D313" s="102" t="s">
        <v>8</v>
      </c>
      <c r="E313" s="114" t="s">
        <v>9</v>
      </c>
      <c r="F313" s="114" t="s">
        <v>10</v>
      </c>
      <c r="G313" s="228" t="s">
        <v>38</v>
      </c>
      <c r="H313" s="228"/>
    </row>
    <row r="314" spans="1:8" x14ac:dyDescent="0.35">
      <c r="A314" s="102"/>
      <c r="B314" s="102"/>
      <c r="C314" s="102"/>
      <c r="D314" s="102"/>
      <c r="E314" s="114"/>
      <c r="F314" s="114"/>
      <c r="G314" s="114" t="s">
        <v>9</v>
      </c>
      <c r="H314" s="114" t="s">
        <v>10</v>
      </c>
    </row>
    <row r="315" spans="1:8" x14ac:dyDescent="0.35">
      <c r="A315" s="199">
        <v>39052</v>
      </c>
      <c r="B315" s="196"/>
      <c r="C315" s="196" t="s">
        <v>35</v>
      </c>
      <c r="D315" s="198"/>
      <c r="E315" s="237"/>
      <c r="F315" s="238"/>
      <c r="G315" s="234">
        <f>VLOOKUP(C310,'MASTER AKUN'!A36:D91,4,FALSE)</f>
        <v>0</v>
      </c>
      <c r="H315" s="235">
        <f>VLOOKUP(C310,'MASTER AKUN'!A36:E91,5,FALSE)</f>
        <v>0</v>
      </c>
    </row>
    <row r="316" spans="1:8" x14ac:dyDescent="0.35">
      <c r="A316" s="195">
        <v>39082</v>
      </c>
      <c r="B316" s="196"/>
      <c r="C316" s="196" t="s">
        <v>291</v>
      </c>
      <c r="D316" s="198"/>
      <c r="E316" s="234">
        <f ca="1">SUMIF('JURNAL UMUM'!$A$5:$G$101,'BUKU BESAR'!C310,'JURNAL UMUM'!$F$5:$F$101)</f>
        <v>0</v>
      </c>
      <c r="F316" s="234">
        <f ca="1">SUMIF('JURNAL UMUM'!$A$5:$G$101,'BUKU BESAR'!C310,'JURNAL UMUM'!$G$5:$G$101)</f>
        <v>0</v>
      </c>
      <c r="G316" s="234">
        <f ca="1">IF(G315+E316&gt;H315+F316,((G315+E316)-(H315+F316)),0)</f>
        <v>0</v>
      </c>
      <c r="H316" s="236">
        <f ca="1">IF(H315+F316&gt;G315+E316,((H315+F316)-(G315+E316)),0)</f>
        <v>0</v>
      </c>
    </row>
    <row r="318" spans="1:8" x14ac:dyDescent="0.35">
      <c r="A318" s="32" t="s">
        <v>39</v>
      </c>
      <c r="C318" s="154" t="s">
        <v>181</v>
      </c>
    </row>
    <row r="319" spans="1:8" x14ac:dyDescent="0.35">
      <c r="A319" s="32" t="s">
        <v>40</v>
      </c>
      <c r="C319" s="32" t="str">
        <f>VLOOKUP(C318,'MASTER AKUN'!A36:B91,2,FALSE)</f>
        <v>Beban Penyusutan Kendaraan</v>
      </c>
    </row>
    <row r="321" spans="1:8" x14ac:dyDescent="0.35">
      <c r="A321" s="102" t="s">
        <v>19</v>
      </c>
      <c r="B321" s="102" t="s">
        <v>36</v>
      </c>
      <c r="C321" s="102" t="s">
        <v>37</v>
      </c>
      <c r="D321" s="102" t="s">
        <v>8</v>
      </c>
      <c r="E321" s="114" t="s">
        <v>9</v>
      </c>
      <c r="F321" s="114" t="s">
        <v>10</v>
      </c>
      <c r="G321" s="228" t="s">
        <v>38</v>
      </c>
      <c r="H321" s="228"/>
    </row>
    <row r="322" spans="1:8" x14ac:dyDescent="0.35">
      <c r="A322" s="102"/>
      <c r="B322" s="102"/>
      <c r="C322" s="102"/>
      <c r="D322" s="102"/>
      <c r="E322" s="114"/>
      <c r="F322" s="114"/>
      <c r="G322" s="114" t="s">
        <v>9</v>
      </c>
      <c r="H322" s="114" t="s">
        <v>10</v>
      </c>
    </row>
    <row r="323" spans="1:8" x14ac:dyDescent="0.35">
      <c r="A323" s="199">
        <v>39052</v>
      </c>
      <c r="B323" s="196"/>
      <c r="C323" s="196" t="s">
        <v>35</v>
      </c>
      <c r="D323" s="198"/>
      <c r="E323" s="237"/>
      <c r="F323" s="238"/>
      <c r="G323" s="234">
        <f>VLOOKUP(C318,'MASTER AKUN'!A44:D99,4,FALSE)</f>
        <v>0</v>
      </c>
      <c r="H323" s="235">
        <f>VLOOKUP(C318,'MASTER AKUN'!A44:E99,5,FALSE)</f>
        <v>0</v>
      </c>
    </row>
    <row r="324" spans="1:8" x14ac:dyDescent="0.35">
      <c r="A324" s="195">
        <v>39082</v>
      </c>
      <c r="B324" s="196"/>
      <c r="C324" s="196" t="s">
        <v>291</v>
      </c>
      <c r="D324" s="198"/>
      <c r="E324" s="234">
        <f ca="1">SUMIF('JURNAL UMUM'!$A$5:$G$101,'BUKU BESAR'!C318,'JURNAL UMUM'!$F$5:$F$101)</f>
        <v>0</v>
      </c>
      <c r="F324" s="234">
        <f ca="1">SUMIF('JURNAL UMUM'!$A$5:$G$101,'BUKU BESAR'!C318,'JURNAL UMUM'!$G$5:$G$101)</f>
        <v>0</v>
      </c>
      <c r="G324" s="234">
        <f ca="1">IF(G323+E324&gt;H323+F324,((G323+E324)-(H323+F324)),0)</f>
        <v>0</v>
      </c>
      <c r="H324" s="236">
        <f ca="1">IF(H323+F324&gt;G323+E324,((H323+F324)-(G323+E324)),0)</f>
        <v>0</v>
      </c>
    </row>
    <row r="326" spans="1:8" x14ac:dyDescent="0.35">
      <c r="A326" s="32" t="s">
        <v>39</v>
      </c>
      <c r="C326" s="154" t="s">
        <v>180</v>
      </c>
    </row>
    <row r="327" spans="1:8" x14ac:dyDescent="0.35">
      <c r="A327" s="32" t="s">
        <v>40</v>
      </c>
      <c r="C327" s="32" t="str">
        <f>VLOOKUP(C326,'MASTER AKUN'!A44:B99,2,FALSE)</f>
        <v xml:space="preserve">Beban pemasaran </v>
      </c>
    </row>
    <row r="329" spans="1:8" x14ac:dyDescent="0.35">
      <c r="A329" s="102" t="s">
        <v>19</v>
      </c>
      <c r="B329" s="102" t="s">
        <v>36</v>
      </c>
      <c r="C329" s="102" t="s">
        <v>37</v>
      </c>
      <c r="D329" s="102" t="s">
        <v>8</v>
      </c>
      <c r="E329" s="114" t="s">
        <v>9</v>
      </c>
      <c r="F329" s="114" t="s">
        <v>10</v>
      </c>
      <c r="G329" s="228" t="s">
        <v>38</v>
      </c>
      <c r="H329" s="228"/>
    </row>
    <row r="330" spans="1:8" x14ac:dyDescent="0.35">
      <c r="A330" s="102"/>
      <c r="B330" s="102"/>
      <c r="C330" s="102"/>
      <c r="D330" s="102"/>
      <c r="E330" s="114"/>
      <c r="F330" s="114"/>
      <c r="G330" s="114" t="s">
        <v>9</v>
      </c>
      <c r="H330" s="114" t="s">
        <v>10</v>
      </c>
    </row>
    <row r="331" spans="1:8" x14ac:dyDescent="0.35">
      <c r="A331" s="199">
        <v>39052</v>
      </c>
      <c r="B331" s="196"/>
      <c r="C331" s="196" t="s">
        <v>35</v>
      </c>
      <c r="D331" s="198"/>
      <c r="E331" s="237"/>
      <c r="F331" s="238"/>
      <c r="G331" s="234">
        <f>VLOOKUP(C326,'MASTER AKUN'!A4:D59,4,FALSE)</f>
        <v>0</v>
      </c>
      <c r="H331" s="235">
        <f>VLOOKUP(C326,'MASTER AKUN'!A4:E59,5,FALSE)</f>
        <v>0</v>
      </c>
    </row>
    <row r="332" spans="1:8" x14ac:dyDescent="0.35">
      <c r="A332" s="195">
        <v>39082</v>
      </c>
      <c r="B332" s="196"/>
      <c r="C332" s="196" t="s">
        <v>291</v>
      </c>
      <c r="D332" s="198"/>
      <c r="E332" s="234">
        <f ca="1">SUMIF('JURNAL UMUM'!$A$5:$G$101,'BUKU BESAR'!C326,'JURNAL UMUM'!$F$5:$F$101)</f>
        <v>750000</v>
      </c>
      <c r="F332" s="234">
        <f ca="1">SUMIF('JURNAL UMUM'!$A$5:$G$101,'BUKU BESAR'!C326,'JURNAL UMUM'!$G$5:$G$101)</f>
        <v>0</v>
      </c>
      <c r="G332" s="234">
        <f ca="1">IF(G331+E332&gt;H331+F332,((G331+E332)-(H331+F332)),0)</f>
        <v>750000</v>
      </c>
      <c r="H332" s="236">
        <f ca="1">IF(H331+F332&gt;G331+E332,((H331+F332)-(G331+E332)),0)</f>
        <v>0</v>
      </c>
    </row>
    <row r="334" spans="1:8" x14ac:dyDescent="0.35">
      <c r="A334" s="32" t="s">
        <v>39</v>
      </c>
      <c r="C334" s="154" t="s">
        <v>179</v>
      </c>
    </row>
    <row r="335" spans="1:8" x14ac:dyDescent="0.35">
      <c r="A335" s="32" t="s">
        <v>40</v>
      </c>
      <c r="C335" s="32" t="str">
        <f>VLOOKUP(C334,'MASTER AKUN'!A52:B107,2,FALSE)</f>
        <v>Beban Transportasi</v>
      </c>
    </row>
    <row r="337" spans="1:8" x14ac:dyDescent="0.35">
      <c r="A337" s="102" t="s">
        <v>19</v>
      </c>
      <c r="B337" s="102" t="s">
        <v>36</v>
      </c>
      <c r="C337" s="102" t="s">
        <v>37</v>
      </c>
      <c r="D337" s="102" t="s">
        <v>8</v>
      </c>
      <c r="E337" s="114" t="s">
        <v>9</v>
      </c>
      <c r="F337" s="114" t="s">
        <v>10</v>
      </c>
      <c r="G337" s="228" t="s">
        <v>38</v>
      </c>
      <c r="H337" s="228"/>
    </row>
    <row r="338" spans="1:8" x14ac:dyDescent="0.35">
      <c r="A338" s="102"/>
      <c r="B338" s="102"/>
      <c r="C338" s="102"/>
      <c r="D338" s="102"/>
      <c r="E338" s="114"/>
      <c r="F338" s="114"/>
      <c r="G338" s="114" t="s">
        <v>9</v>
      </c>
      <c r="H338" s="114" t="s">
        <v>10</v>
      </c>
    </row>
    <row r="339" spans="1:8" x14ac:dyDescent="0.35">
      <c r="A339" s="199">
        <v>39052</v>
      </c>
      <c r="B339" s="196"/>
      <c r="C339" s="196" t="s">
        <v>35</v>
      </c>
      <c r="D339" s="198"/>
      <c r="E339" s="237"/>
      <c r="F339" s="238"/>
      <c r="G339" s="234">
        <f>VLOOKUP(C334,'MASTER AKUN'!A12:D67,4,FALSE)</f>
        <v>0</v>
      </c>
      <c r="H339" s="235">
        <f>VLOOKUP(C334,'MASTER AKUN'!A12:E67,5,FALSE)</f>
        <v>0</v>
      </c>
    </row>
    <row r="340" spans="1:8" x14ac:dyDescent="0.35">
      <c r="A340" s="195">
        <v>39082</v>
      </c>
      <c r="B340" s="196"/>
      <c r="C340" s="196" t="s">
        <v>291</v>
      </c>
      <c r="D340" s="198"/>
      <c r="E340" s="234">
        <f ca="1">SUMIF('JURNAL UMUM'!$A$5:$G$101,'BUKU BESAR'!C334,'JURNAL UMUM'!$F$5:$F$101)</f>
        <v>250000</v>
      </c>
      <c r="F340" s="234">
        <f ca="1">SUMIF('JURNAL UMUM'!$A$5:$G$101,'BUKU BESAR'!C334,'JURNAL UMUM'!$G$5:$G$101)</f>
        <v>0</v>
      </c>
      <c r="G340" s="234">
        <f ca="1">IF(G339+E340&gt;H339+F340,((G339+E340)-(H339+F340)),0)</f>
        <v>250000</v>
      </c>
      <c r="H340" s="236">
        <f ca="1">IF(H339+F340&gt;G339+E340,((H339+F340)-(G339+E340)),0)</f>
        <v>0</v>
      </c>
    </row>
    <row r="342" spans="1:8" x14ac:dyDescent="0.35">
      <c r="A342" s="32" t="s">
        <v>39</v>
      </c>
      <c r="C342" s="154" t="s">
        <v>178</v>
      </c>
    </row>
    <row r="343" spans="1:8" x14ac:dyDescent="0.35">
      <c r="A343" s="32" t="s">
        <v>40</v>
      </c>
      <c r="C343" s="32" t="str">
        <f>VLOOKUP(C342,'MASTER AKUN'!A4:B59,2,FALSE)</f>
        <v>Beban Perawatan AC</v>
      </c>
    </row>
    <row r="345" spans="1:8" x14ac:dyDescent="0.35">
      <c r="A345" s="102" t="s">
        <v>19</v>
      </c>
      <c r="B345" s="102" t="s">
        <v>36</v>
      </c>
      <c r="C345" s="102" t="s">
        <v>37</v>
      </c>
      <c r="D345" s="102" t="s">
        <v>8</v>
      </c>
      <c r="E345" s="114" t="s">
        <v>9</v>
      </c>
      <c r="F345" s="114" t="s">
        <v>10</v>
      </c>
      <c r="G345" s="228" t="s">
        <v>38</v>
      </c>
      <c r="H345" s="228"/>
    </row>
    <row r="346" spans="1:8" x14ac:dyDescent="0.35">
      <c r="A346" s="102"/>
      <c r="B346" s="102"/>
      <c r="C346" s="102"/>
      <c r="D346" s="102"/>
      <c r="E346" s="114"/>
      <c r="F346" s="114"/>
      <c r="G346" s="114" t="s">
        <v>9</v>
      </c>
      <c r="H346" s="114" t="s">
        <v>10</v>
      </c>
    </row>
    <row r="347" spans="1:8" x14ac:dyDescent="0.35">
      <c r="A347" s="199">
        <v>39052</v>
      </c>
      <c r="B347" s="196"/>
      <c r="C347" s="196" t="s">
        <v>35</v>
      </c>
      <c r="D347" s="198"/>
      <c r="E347" s="237"/>
      <c r="F347" s="238"/>
      <c r="G347" s="234">
        <f>VLOOKUP(C342,'MASTER AKUN'!A20:D75,4,FALSE)</f>
        <v>0</v>
      </c>
      <c r="H347" s="235">
        <f>VLOOKUP(C342,'MASTER AKUN'!A20:E75,5,FALSE)</f>
        <v>0</v>
      </c>
    </row>
    <row r="348" spans="1:8" x14ac:dyDescent="0.35">
      <c r="A348" s="195">
        <v>39082</v>
      </c>
      <c r="B348" s="196"/>
      <c r="C348" s="196" t="s">
        <v>291</v>
      </c>
      <c r="D348" s="198"/>
      <c r="E348" s="234">
        <f ca="1">SUMIF('JURNAL UMUM'!$A$5:$G$101,'BUKU BESAR'!C342,'JURNAL UMUM'!$F$5:$F$101)</f>
        <v>200000</v>
      </c>
      <c r="F348" s="234">
        <f ca="1">SUMIF('JURNAL UMUM'!$A$5:$G$101,'BUKU BESAR'!C342,'JURNAL UMUM'!$G$5:$G$101)</f>
        <v>0</v>
      </c>
      <c r="G348" s="234">
        <f ca="1">IF(G347+E348&gt;H347+F348,((G347+E348)-(H347+F348)),0)</f>
        <v>200000</v>
      </c>
      <c r="H348" s="236">
        <f ca="1">IF(H347+F348&gt;G347+E348,((H347+F348)-(G347+E348)),0)</f>
        <v>0</v>
      </c>
    </row>
    <row r="350" spans="1:8" x14ac:dyDescent="0.35">
      <c r="A350" s="32" t="s">
        <v>39</v>
      </c>
      <c r="C350" s="154" t="s">
        <v>178</v>
      </c>
    </row>
    <row r="351" spans="1:8" x14ac:dyDescent="0.35">
      <c r="A351" s="32" t="s">
        <v>40</v>
      </c>
      <c r="C351" s="32" t="str">
        <f>VLOOKUP(C350,'MASTER AKUN'!A12:B67,2,FALSE)</f>
        <v>Beban Perawatan AC</v>
      </c>
    </row>
    <row r="353" spans="1:8" x14ac:dyDescent="0.35">
      <c r="A353" s="102" t="s">
        <v>19</v>
      </c>
      <c r="B353" s="102" t="s">
        <v>36</v>
      </c>
      <c r="C353" s="102" t="s">
        <v>37</v>
      </c>
      <c r="D353" s="102" t="s">
        <v>8</v>
      </c>
      <c r="E353" s="114" t="s">
        <v>9</v>
      </c>
      <c r="F353" s="114" t="s">
        <v>10</v>
      </c>
      <c r="G353" s="228" t="s">
        <v>38</v>
      </c>
      <c r="H353" s="228"/>
    </row>
    <row r="354" spans="1:8" x14ac:dyDescent="0.35">
      <c r="A354" s="102"/>
      <c r="B354" s="102"/>
      <c r="C354" s="102"/>
      <c r="D354" s="102"/>
      <c r="E354" s="114"/>
      <c r="F354" s="114"/>
      <c r="G354" s="114" t="s">
        <v>9</v>
      </c>
      <c r="H354" s="114" t="s">
        <v>10</v>
      </c>
    </row>
    <row r="355" spans="1:8" x14ac:dyDescent="0.35">
      <c r="A355" s="199">
        <v>39052</v>
      </c>
      <c r="B355" s="196"/>
      <c r="C355" s="196" t="s">
        <v>35</v>
      </c>
      <c r="D355" s="198"/>
      <c r="E355" s="237"/>
      <c r="F355" s="238"/>
      <c r="G355" s="234">
        <f>VLOOKUP(C350,'MASTER AKUN'!A28:D83,4,FALSE)</f>
        <v>0</v>
      </c>
      <c r="H355" s="235">
        <f>VLOOKUP(C350,'MASTER AKUN'!A28:E83,5,FALSE)</f>
        <v>0</v>
      </c>
    </row>
    <row r="356" spans="1:8" x14ac:dyDescent="0.35">
      <c r="A356" s="195">
        <v>39082</v>
      </c>
      <c r="B356" s="196"/>
      <c r="C356" s="196" t="s">
        <v>291</v>
      </c>
      <c r="D356" s="198"/>
      <c r="E356" s="234">
        <f ca="1">SUMIF('JURNAL UMUM'!$A$5:$G$101,'BUKU BESAR'!C350,'JURNAL UMUM'!$F$5:$F$101)</f>
        <v>200000</v>
      </c>
      <c r="F356" s="234">
        <f ca="1">SUMIF('JURNAL UMUM'!$A$5:$G$101,'BUKU BESAR'!C350,'JURNAL UMUM'!$G$5:$G$101)</f>
        <v>0</v>
      </c>
      <c r="G356" s="234">
        <f ca="1">IF(G355+E356&gt;H355+F356,((G355+E356)-(H355+F356)),0)</f>
        <v>200000</v>
      </c>
      <c r="H356" s="236">
        <f ca="1">IF(H355+F356&gt;G355+E356,((H355+F356)-(G355+E356)),0)</f>
        <v>0</v>
      </c>
    </row>
    <row r="358" spans="1:8" x14ac:dyDescent="0.35">
      <c r="A358" s="32" t="s">
        <v>39</v>
      </c>
      <c r="C358" s="154" t="s">
        <v>177</v>
      </c>
    </row>
    <row r="359" spans="1:8" x14ac:dyDescent="0.35">
      <c r="A359" s="32" t="s">
        <v>40</v>
      </c>
      <c r="C359" s="32" t="str">
        <f>VLOOKUP(C358,'MASTER AKUN'!A20:B75,2,FALSE)</f>
        <v>Beban Perlengkapan Kantor</v>
      </c>
    </row>
    <row r="361" spans="1:8" x14ac:dyDescent="0.35">
      <c r="A361" s="102" t="s">
        <v>19</v>
      </c>
      <c r="B361" s="102" t="s">
        <v>36</v>
      </c>
      <c r="C361" s="102" t="s">
        <v>37</v>
      </c>
      <c r="D361" s="102" t="s">
        <v>8</v>
      </c>
      <c r="E361" s="114" t="s">
        <v>9</v>
      </c>
      <c r="F361" s="114" t="s">
        <v>10</v>
      </c>
      <c r="G361" s="228" t="s">
        <v>38</v>
      </c>
      <c r="H361" s="228"/>
    </row>
    <row r="362" spans="1:8" x14ac:dyDescent="0.35">
      <c r="A362" s="102"/>
      <c r="B362" s="102"/>
      <c r="C362" s="102"/>
      <c r="D362" s="102"/>
      <c r="E362" s="114"/>
      <c r="F362" s="114"/>
      <c r="G362" s="114" t="s">
        <v>9</v>
      </c>
      <c r="H362" s="114" t="s">
        <v>10</v>
      </c>
    </row>
    <row r="363" spans="1:8" x14ac:dyDescent="0.35">
      <c r="A363" s="199">
        <v>39052</v>
      </c>
      <c r="B363" s="196"/>
      <c r="C363" s="196" t="s">
        <v>35</v>
      </c>
      <c r="D363" s="198"/>
      <c r="E363" s="237"/>
      <c r="F363" s="238"/>
      <c r="G363" s="234">
        <f>VLOOKUP(C358,'MASTER AKUN'!A36:D91,4,FALSE)</f>
        <v>0</v>
      </c>
      <c r="H363" s="235">
        <f>VLOOKUP(C358,'MASTER AKUN'!A36:E91,5,FALSE)</f>
        <v>0</v>
      </c>
    </row>
    <row r="364" spans="1:8" x14ac:dyDescent="0.35">
      <c r="A364" s="195">
        <v>39082</v>
      </c>
      <c r="B364" s="196"/>
      <c r="C364" s="196" t="s">
        <v>291</v>
      </c>
      <c r="D364" s="198"/>
      <c r="E364" s="234">
        <f ca="1">SUMIF('JURNAL UMUM'!$A$5:$G$101,'BUKU BESAR'!C358,'JURNAL UMUM'!$F$5:$F$101)</f>
        <v>50000</v>
      </c>
      <c r="F364" s="234">
        <f ca="1">SUMIF('JURNAL UMUM'!$A$5:$G$101,'BUKU BESAR'!C358,'JURNAL UMUM'!$G$5:$G$101)</f>
        <v>0</v>
      </c>
      <c r="G364" s="234">
        <f ca="1">IF(G363+E364&gt;H363+F364,((G363+E364)-(H363+F364)),0)</f>
        <v>50000</v>
      </c>
      <c r="H364" s="236">
        <f ca="1">IF(H363+F364&gt;G363+E364,((H363+F364)-(G363+E364)),0)</f>
        <v>0</v>
      </c>
    </row>
    <row r="366" spans="1:8" x14ac:dyDescent="0.35">
      <c r="A366" s="32" t="s">
        <v>39</v>
      </c>
      <c r="C366" s="154" t="s">
        <v>176</v>
      </c>
    </row>
    <row r="367" spans="1:8" x14ac:dyDescent="0.35">
      <c r="A367" s="32" t="s">
        <v>40</v>
      </c>
      <c r="C367" s="32" t="str">
        <f>VLOOKUP(C366,'MASTER AKUN'!A28:B83,2,FALSE)</f>
        <v>Beban Umum Lain-Lain</v>
      </c>
    </row>
    <row r="369" spans="1:8" x14ac:dyDescent="0.35">
      <c r="A369" s="102" t="s">
        <v>19</v>
      </c>
      <c r="B369" s="102" t="s">
        <v>36</v>
      </c>
      <c r="C369" s="102" t="s">
        <v>37</v>
      </c>
      <c r="D369" s="102" t="s">
        <v>8</v>
      </c>
      <c r="E369" s="114" t="s">
        <v>9</v>
      </c>
      <c r="F369" s="114" t="s">
        <v>10</v>
      </c>
      <c r="G369" s="228" t="s">
        <v>38</v>
      </c>
      <c r="H369" s="228"/>
    </row>
    <row r="370" spans="1:8" x14ac:dyDescent="0.35">
      <c r="A370" s="102"/>
      <c r="B370" s="102"/>
      <c r="C370" s="102"/>
      <c r="D370" s="102"/>
      <c r="E370" s="114"/>
      <c r="F370" s="114"/>
      <c r="G370" s="114" t="s">
        <v>9</v>
      </c>
      <c r="H370" s="114" t="s">
        <v>10</v>
      </c>
    </row>
    <row r="371" spans="1:8" x14ac:dyDescent="0.35">
      <c r="A371" s="199">
        <v>39052</v>
      </c>
      <c r="B371" s="196"/>
      <c r="C371" s="196" t="s">
        <v>35</v>
      </c>
      <c r="D371" s="198"/>
      <c r="E371" s="237"/>
      <c r="F371" s="238"/>
      <c r="G371" s="234">
        <f>VLOOKUP(C366,'MASTER AKUN'!A44:D99,4,FALSE)</f>
        <v>0</v>
      </c>
      <c r="H371" s="235">
        <f>VLOOKUP(C366,'MASTER AKUN'!A44:E99,5,FALSE)</f>
        <v>0</v>
      </c>
    </row>
    <row r="372" spans="1:8" x14ac:dyDescent="0.35">
      <c r="A372" s="195">
        <v>39082</v>
      </c>
      <c r="B372" s="196"/>
      <c r="C372" s="196" t="s">
        <v>291</v>
      </c>
      <c r="D372" s="198"/>
      <c r="E372" s="234">
        <f ca="1">SUMIF('JURNAL UMUM'!$A$5:$G$101,'BUKU BESAR'!C366,'JURNAL UMUM'!$F$5:$F$101)</f>
        <v>0</v>
      </c>
      <c r="F372" s="234">
        <f ca="1">SUMIF('JURNAL UMUM'!$A$5:$G$101,'BUKU BESAR'!C366,'JURNAL UMUM'!$G$5:$G$101)</f>
        <v>0</v>
      </c>
      <c r="G372" s="234">
        <f ca="1">IF(G371+E372&gt;H371+F372,((G371+E372)-(H371+F372)),0)</f>
        <v>0</v>
      </c>
      <c r="H372" s="236">
        <f ca="1">IF(H371+F372&gt;G371+E372,((H371+F372)-(G371+E372)),0)</f>
        <v>0</v>
      </c>
    </row>
    <row r="374" spans="1:8" x14ac:dyDescent="0.35">
      <c r="A374" s="32" t="s">
        <v>39</v>
      </c>
      <c r="C374" s="154" t="s">
        <v>175</v>
      </c>
    </row>
    <row r="375" spans="1:8" x14ac:dyDescent="0.35">
      <c r="A375" s="32" t="s">
        <v>40</v>
      </c>
      <c r="C375" s="32" t="str">
        <f>VLOOKUP(C374,'MASTER AKUN'!A36:B91,2,FALSE)</f>
        <v>Laba Penjualan Aktiva Tetap</v>
      </c>
    </row>
    <row r="377" spans="1:8" x14ac:dyDescent="0.35">
      <c r="A377" s="102" t="s">
        <v>19</v>
      </c>
      <c r="B377" s="102" t="s">
        <v>36</v>
      </c>
      <c r="C377" s="102" t="s">
        <v>37</v>
      </c>
      <c r="D377" s="102" t="s">
        <v>8</v>
      </c>
      <c r="E377" s="114" t="s">
        <v>9</v>
      </c>
      <c r="F377" s="114" t="s">
        <v>10</v>
      </c>
      <c r="G377" s="228" t="s">
        <v>38</v>
      </c>
      <c r="H377" s="228"/>
    </row>
    <row r="378" spans="1:8" x14ac:dyDescent="0.35">
      <c r="A378" s="102"/>
      <c r="B378" s="102"/>
      <c r="C378" s="102"/>
      <c r="D378" s="102"/>
      <c r="E378" s="114"/>
      <c r="F378" s="114"/>
      <c r="G378" s="114" t="s">
        <v>9</v>
      </c>
      <c r="H378" s="114" t="s">
        <v>10</v>
      </c>
    </row>
    <row r="379" spans="1:8" x14ac:dyDescent="0.35">
      <c r="A379" s="199">
        <v>39052</v>
      </c>
      <c r="B379" s="196"/>
      <c r="C379" s="196" t="s">
        <v>35</v>
      </c>
      <c r="D379" s="198"/>
      <c r="E379" s="237"/>
      <c r="F379" s="238"/>
      <c r="G379" s="234">
        <f>VLOOKUP(C374,'MASTER AKUN'!A52:D107,4,FALSE)</f>
        <v>0</v>
      </c>
      <c r="H379" s="235">
        <f>VLOOKUP(C374,'MASTER AKUN'!A52:E107,5,FALSE)</f>
        <v>0</v>
      </c>
    </row>
    <row r="380" spans="1:8" x14ac:dyDescent="0.35">
      <c r="A380" s="195">
        <v>39082</v>
      </c>
      <c r="B380" s="196"/>
      <c r="C380" s="196" t="s">
        <v>291</v>
      </c>
      <c r="D380" s="198"/>
      <c r="E380" s="234">
        <f ca="1">SUMIF('JURNAL UMUM'!$A$5:$G$101,'BUKU BESAR'!C374,'JURNAL UMUM'!$F$5:$F$101)</f>
        <v>0</v>
      </c>
      <c r="F380" s="234">
        <f ca="1">SUMIF('JURNAL UMUM'!$A$5:$G$101,'BUKU BESAR'!C374,'JURNAL UMUM'!$G$5:$G$101)</f>
        <v>1000000</v>
      </c>
      <c r="G380" s="234">
        <f ca="1">IF(G379+E380&gt;H379+F380,((G379+E380)-(H379+F380)),0)</f>
        <v>0</v>
      </c>
      <c r="H380" s="236">
        <f ca="1">IF(H379+F380&gt;G379+E380,((H379+F380)-(G379+E380)),0)</f>
        <v>1000000</v>
      </c>
    </row>
    <row r="382" spans="1:8" x14ac:dyDescent="0.35">
      <c r="A382" s="32" t="s">
        <v>39</v>
      </c>
      <c r="C382" s="41" t="s">
        <v>174</v>
      </c>
    </row>
    <row r="383" spans="1:8" x14ac:dyDescent="0.35">
      <c r="A383" s="32" t="s">
        <v>40</v>
      </c>
      <c r="C383" s="32" t="str">
        <f>VLOOKUP(C382,'MASTER AKUN'!A44:B99,2,FALSE)</f>
        <v>Pendapatan Jasa Giro</v>
      </c>
    </row>
    <row r="385" spans="1:8" x14ac:dyDescent="0.35">
      <c r="A385" s="102" t="s">
        <v>19</v>
      </c>
      <c r="B385" s="102" t="s">
        <v>36</v>
      </c>
      <c r="C385" s="102" t="s">
        <v>37</v>
      </c>
      <c r="D385" s="102" t="s">
        <v>8</v>
      </c>
      <c r="E385" s="114" t="s">
        <v>9</v>
      </c>
      <c r="F385" s="114" t="s">
        <v>10</v>
      </c>
      <c r="G385" s="228" t="s">
        <v>38</v>
      </c>
      <c r="H385" s="228"/>
    </row>
    <row r="386" spans="1:8" x14ac:dyDescent="0.35">
      <c r="A386" s="102"/>
      <c r="B386" s="102"/>
      <c r="C386" s="102"/>
      <c r="D386" s="102"/>
      <c r="E386" s="114"/>
      <c r="F386" s="114"/>
      <c r="G386" s="114" t="s">
        <v>9</v>
      </c>
      <c r="H386" s="114" t="s">
        <v>10</v>
      </c>
    </row>
    <row r="387" spans="1:8" x14ac:dyDescent="0.35">
      <c r="A387" s="199">
        <v>39052</v>
      </c>
      <c r="B387" s="196"/>
      <c r="C387" s="196" t="s">
        <v>35</v>
      </c>
      <c r="D387" s="198"/>
      <c r="E387" s="237"/>
      <c r="F387" s="238"/>
      <c r="G387" s="234">
        <f>VLOOKUP(C382,'MASTER AKUN'!A4:D59,4,FALSE)</f>
        <v>0</v>
      </c>
      <c r="H387" s="235">
        <f>VLOOKUP(C382,'MASTER AKUN'!A4:E59,5,FALSE)</f>
        <v>0</v>
      </c>
    </row>
    <row r="388" spans="1:8" x14ac:dyDescent="0.35">
      <c r="A388" s="195">
        <v>39082</v>
      </c>
      <c r="B388" s="196"/>
      <c r="C388" s="196" t="s">
        <v>291</v>
      </c>
      <c r="D388" s="198"/>
      <c r="E388" s="234">
        <f ca="1">SUMIF('JURNAL UMUM'!$A$5:$G$101,'BUKU BESAR'!C382,'JURNAL UMUM'!$F$5:$F$101)</f>
        <v>0</v>
      </c>
      <c r="F388" s="234">
        <f ca="1">SUMIF('JURNAL UMUM'!$A$5:$G$101,'BUKU BESAR'!C382,'JURNAL UMUM'!$G$5:$G$101)</f>
        <v>0</v>
      </c>
      <c r="G388" s="234">
        <f ca="1">IF(G387+E388&gt;H387+F388,((G387+E388)-(H387+F388)),0)</f>
        <v>0</v>
      </c>
      <c r="H388" s="236">
        <f ca="1">IF(H387+F388&gt;G387+E388,((H387+F388)-(G387+E388)),0)</f>
        <v>0</v>
      </c>
    </row>
    <row r="390" spans="1:8" x14ac:dyDescent="0.35">
      <c r="A390" s="32" t="s">
        <v>39</v>
      </c>
      <c r="C390" s="41" t="s">
        <v>173</v>
      </c>
    </row>
    <row r="391" spans="1:8" x14ac:dyDescent="0.35">
      <c r="A391" s="32" t="s">
        <v>40</v>
      </c>
      <c r="C391" s="32" t="str">
        <f>VLOOKUP(C390,'MASTER AKUN'!A52:B107,2,FALSE)</f>
        <v>Beban Administrasi Bank</v>
      </c>
    </row>
    <row r="393" spans="1:8" x14ac:dyDescent="0.35">
      <c r="A393" s="102" t="s">
        <v>19</v>
      </c>
      <c r="B393" s="102" t="s">
        <v>36</v>
      </c>
      <c r="C393" s="102" t="s">
        <v>37</v>
      </c>
      <c r="D393" s="102" t="s">
        <v>8</v>
      </c>
      <c r="E393" s="114" t="s">
        <v>9</v>
      </c>
      <c r="F393" s="114" t="s">
        <v>10</v>
      </c>
      <c r="G393" s="228" t="s">
        <v>38</v>
      </c>
      <c r="H393" s="228"/>
    </row>
    <row r="394" spans="1:8" x14ac:dyDescent="0.35">
      <c r="A394" s="102"/>
      <c r="B394" s="102"/>
      <c r="C394" s="102"/>
      <c r="D394" s="102"/>
      <c r="E394" s="114"/>
      <c r="F394" s="114"/>
      <c r="G394" s="114" t="s">
        <v>9</v>
      </c>
      <c r="H394" s="114" t="s">
        <v>10</v>
      </c>
    </row>
    <row r="395" spans="1:8" x14ac:dyDescent="0.35">
      <c r="A395" s="199">
        <v>39052</v>
      </c>
      <c r="B395" s="196"/>
      <c r="C395" s="196" t="s">
        <v>35</v>
      </c>
      <c r="D395" s="198"/>
      <c r="E395" s="237"/>
      <c r="F395" s="238"/>
      <c r="G395" s="234">
        <f>VLOOKUP(C390,'MASTER AKUN'!A12:D67,4,FALSE)</f>
        <v>0</v>
      </c>
      <c r="H395" s="235">
        <f>VLOOKUP(C390,'MASTER AKUN'!A12:E67,5,FALSE)</f>
        <v>0</v>
      </c>
    </row>
    <row r="396" spans="1:8" x14ac:dyDescent="0.35">
      <c r="A396" s="195">
        <v>39082</v>
      </c>
      <c r="B396" s="196"/>
      <c r="C396" s="196" t="s">
        <v>291</v>
      </c>
      <c r="D396" s="198"/>
      <c r="E396" s="234">
        <f ca="1">SUMIF('JURNAL UMUM'!$A$5:$G$101,'BUKU BESAR'!C390,'JURNAL UMUM'!$F$5:$F$101)</f>
        <v>0</v>
      </c>
      <c r="F396" s="234">
        <f ca="1">SUMIF('JURNAL UMUM'!$A$5:$G$101,'BUKU BESAR'!C390,'JURNAL UMUM'!$G$5:$G$101)</f>
        <v>0</v>
      </c>
      <c r="G396" s="234">
        <f ca="1">IF(G395+E396&gt;H395+F396,((G395+E396)-(H395+F396)),0)</f>
        <v>0</v>
      </c>
      <c r="H396" s="236">
        <f ca="1">IF(H395+F396&gt;G395+E396,((H395+F396)-(G395+E396)),0)</f>
        <v>0</v>
      </c>
    </row>
    <row r="398" spans="1:8" x14ac:dyDescent="0.35">
      <c r="A398" s="32" t="s">
        <v>39</v>
      </c>
      <c r="C398" s="41" t="s">
        <v>172</v>
      </c>
    </row>
    <row r="399" spans="1:8" x14ac:dyDescent="0.35">
      <c r="A399" s="32" t="s">
        <v>40</v>
      </c>
      <c r="C399" s="32" t="str">
        <f>VLOOKUP(C398,'MASTER AKUN'!A36:B59,2,FALSE)</f>
        <v>Beban bunga</v>
      </c>
    </row>
    <row r="401" spans="1:8" x14ac:dyDescent="0.35">
      <c r="A401" s="102" t="s">
        <v>19</v>
      </c>
      <c r="B401" s="102" t="s">
        <v>36</v>
      </c>
      <c r="C401" s="102" t="s">
        <v>37</v>
      </c>
      <c r="D401" s="102" t="s">
        <v>8</v>
      </c>
      <c r="E401" s="114" t="s">
        <v>9</v>
      </c>
      <c r="F401" s="114" t="s">
        <v>10</v>
      </c>
      <c r="G401" s="228" t="s">
        <v>38</v>
      </c>
      <c r="H401" s="228"/>
    </row>
    <row r="402" spans="1:8" x14ac:dyDescent="0.35">
      <c r="A402" s="102"/>
      <c r="B402" s="102"/>
      <c r="C402" s="102"/>
      <c r="D402" s="102"/>
      <c r="E402" s="114"/>
      <c r="F402" s="114"/>
      <c r="G402" s="114" t="s">
        <v>9</v>
      </c>
      <c r="H402" s="114" t="s">
        <v>10</v>
      </c>
    </row>
    <row r="403" spans="1:8" x14ac:dyDescent="0.35">
      <c r="A403" s="199">
        <v>39052</v>
      </c>
      <c r="B403" s="196"/>
      <c r="C403" s="196" t="s">
        <v>35</v>
      </c>
      <c r="D403" s="198"/>
      <c r="E403" s="237"/>
      <c r="F403" s="238"/>
      <c r="G403" s="234">
        <f>VLOOKUP(C398,'MASTER AKUN'!A20:D75,4,FALSE)</f>
        <v>0</v>
      </c>
      <c r="H403" s="235">
        <f>VLOOKUP(C398,'MASTER AKUN'!A20:E75,5,FALSE)</f>
        <v>0</v>
      </c>
    </row>
    <row r="404" spans="1:8" x14ac:dyDescent="0.35">
      <c r="A404" s="195">
        <v>39082</v>
      </c>
      <c r="B404" s="196"/>
      <c r="C404" s="196" t="s">
        <v>291</v>
      </c>
      <c r="D404" s="198"/>
      <c r="E404" s="234">
        <f ca="1">SUMIF('JURNAL UMUM'!$A$5:$G$101,'BUKU BESAR'!C398,'JURNAL UMUM'!$F$5:$F$101)</f>
        <v>0</v>
      </c>
      <c r="F404" s="234">
        <f ca="1">SUMIF('JURNAL UMUM'!$A$5:$G$101,'BUKU BESAR'!C398,'JURNAL UMUM'!$G$5:$G$101)</f>
        <v>0</v>
      </c>
      <c r="G404" s="234">
        <f ca="1">IF(G403+E404&gt;H403+F404,((G403+E404)-(H403+F404)),0)</f>
        <v>0</v>
      </c>
      <c r="H404" s="236">
        <f ca="1">IF(H403+F404&gt;G403+E404,((H403+F404)-(G403+E404)),0)</f>
        <v>0</v>
      </c>
    </row>
  </sheetData>
  <mergeCells count="58">
    <mergeCell ref="G401:H401"/>
    <mergeCell ref="G361:H361"/>
    <mergeCell ref="G369:H369"/>
    <mergeCell ref="G377:H377"/>
    <mergeCell ref="G385:H385"/>
    <mergeCell ref="G393:H393"/>
    <mergeCell ref="G321:H321"/>
    <mergeCell ref="G329:H329"/>
    <mergeCell ref="G337:H337"/>
    <mergeCell ref="G345:H345"/>
    <mergeCell ref="G353:H353"/>
    <mergeCell ref="G281:H281"/>
    <mergeCell ref="G289:H289"/>
    <mergeCell ref="G297:H297"/>
    <mergeCell ref="G305:H305"/>
    <mergeCell ref="G313:H313"/>
    <mergeCell ref="G241:H241"/>
    <mergeCell ref="G249:H249"/>
    <mergeCell ref="G257:H257"/>
    <mergeCell ref="G265:H265"/>
    <mergeCell ref="G273:H273"/>
    <mergeCell ref="G201:H201"/>
    <mergeCell ref="G209:H209"/>
    <mergeCell ref="G217:H217"/>
    <mergeCell ref="G225:H225"/>
    <mergeCell ref="G233:H233"/>
    <mergeCell ref="G161:H161"/>
    <mergeCell ref="G169:H169"/>
    <mergeCell ref="G177:H177"/>
    <mergeCell ref="G185:H185"/>
    <mergeCell ref="G193:H193"/>
    <mergeCell ref="G121:H121"/>
    <mergeCell ref="G129:H129"/>
    <mergeCell ref="G137:H137"/>
    <mergeCell ref="G145:H145"/>
    <mergeCell ref="G153:H153"/>
    <mergeCell ref="F7:F8"/>
    <mergeCell ref="G97:H97"/>
    <mergeCell ref="G105:H105"/>
    <mergeCell ref="G113:H113"/>
    <mergeCell ref="G47:H47"/>
    <mergeCell ref="G55:H55"/>
    <mergeCell ref="G63:H63"/>
    <mergeCell ref="G72:H72"/>
    <mergeCell ref="A1:H1"/>
    <mergeCell ref="A2:H2"/>
    <mergeCell ref="G7:H7"/>
    <mergeCell ref="G15:H15"/>
    <mergeCell ref="G23:H23"/>
    <mergeCell ref="G31:H31"/>
    <mergeCell ref="G39:H39"/>
    <mergeCell ref="B7:B8"/>
    <mergeCell ref="A7:A8"/>
    <mergeCell ref="C7:C8"/>
    <mergeCell ref="D7:D8"/>
    <mergeCell ref="E7:E8"/>
    <mergeCell ref="G80:H80"/>
    <mergeCell ref="G88:H88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topLeftCell="A19" workbookViewId="0">
      <selection activeCell="H42" sqref="H42"/>
    </sheetView>
  </sheetViews>
  <sheetFormatPr defaultColWidth="9.1796875" defaultRowHeight="14.5" x14ac:dyDescent="0.35"/>
  <cols>
    <col min="1" max="1" width="11.36328125" style="32" customWidth="1"/>
    <col min="2" max="2" width="14.26953125" style="32" bestFit="1" customWidth="1"/>
    <col min="3" max="3" width="17.7265625" style="32" bestFit="1" customWidth="1"/>
    <col min="4" max="4" width="4" style="32" bestFit="1" customWidth="1"/>
    <col min="5" max="5" width="13.1796875" style="106" customWidth="1"/>
    <col min="6" max="6" width="14.6328125" style="106" customWidth="1"/>
    <col min="7" max="7" width="16.36328125" style="106" customWidth="1"/>
    <col min="8" max="8" width="16.81640625" style="106" customWidth="1"/>
    <col min="9" max="16384" width="9.1796875" style="32"/>
  </cols>
  <sheetData>
    <row r="1" spans="1:8" x14ac:dyDescent="0.35">
      <c r="A1" s="58" t="s">
        <v>69</v>
      </c>
      <c r="B1" s="58"/>
      <c r="C1" s="58"/>
      <c r="D1" s="58"/>
      <c r="E1" s="58"/>
      <c r="F1" s="58"/>
      <c r="G1" s="58"/>
      <c r="H1" s="58"/>
    </row>
    <row r="2" spans="1:8" x14ac:dyDescent="0.35">
      <c r="A2" s="58" t="s">
        <v>66</v>
      </c>
      <c r="B2" s="58"/>
      <c r="C2" s="58"/>
      <c r="D2" s="58"/>
      <c r="E2" s="58"/>
      <c r="F2" s="58"/>
      <c r="G2" s="58"/>
      <c r="H2" s="58"/>
    </row>
    <row r="4" spans="1:8" x14ac:dyDescent="0.35">
      <c r="A4" s="32" t="s">
        <v>43</v>
      </c>
      <c r="C4" s="32" t="s">
        <v>70</v>
      </c>
    </row>
    <row r="5" spans="1:8" x14ac:dyDescent="0.35">
      <c r="A5" s="32" t="s">
        <v>12</v>
      </c>
      <c r="C5" s="32" t="str">
        <f>VLOOKUP(C4,'MASTER AKUN'!G7:J53,2,)</f>
        <v>PT. Gunung Agung</v>
      </c>
    </row>
    <row r="7" spans="1:8" x14ac:dyDescent="0.35">
      <c r="A7" s="102" t="s">
        <v>29</v>
      </c>
      <c r="B7" s="102" t="s">
        <v>30</v>
      </c>
      <c r="C7" s="102" t="s">
        <v>13</v>
      </c>
      <c r="D7" s="102" t="s">
        <v>31</v>
      </c>
      <c r="E7" s="114" t="s">
        <v>32</v>
      </c>
      <c r="F7" s="114" t="s">
        <v>33</v>
      </c>
      <c r="G7" s="228" t="s">
        <v>34</v>
      </c>
      <c r="H7" s="228"/>
    </row>
    <row r="8" spans="1:8" x14ac:dyDescent="0.35">
      <c r="A8" s="102"/>
      <c r="B8" s="102"/>
      <c r="C8" s="102"/>
      <c r="D8" s="102"/>
      <c r="E8" s="114"/>
      <c r="F8" s="114"/>
      <c r="G8" s="114" t="s">
        <v>32</v>
      </c>
      <c r="H8" s="114" t="s">
        <v>33</v>
      </c>
    </row>
    <row r="9" spans="1:8" x14ac:dyDescent="0.35">
      <c r="A9" s="199">
        <v>40878</v>
      </c>
      <c r="B9" s="196"/>
      <c r="C9" s="196" t="s">
        <v>35</v>
      </c>
      <c r="D9" s="196"/>
      <c r="E9" s="239"/>
      <c r="F9" s="234"/>
      <c r="G9" s="240">
        <f>VLOOKUP(C4,'MASTER AKUN'!G7:$I$45,3,FALSE)</f>
        <v>10000000</v>
      </c>
      <c r="H9" s="234"/>
    </row>
    <row r="10" spans="1:8" x14ac:dyDescent="0.35">
      <c r="A10" s="199">
        <v>40908</v>
      </c>
      <c r="B10" s="196"/>
      <c r="C10" s="196" t="s">
        <v>290</v>
      </c>
      <c r="D10" s="196"/>
      <c r="E10" s="234">
        <f ca="1">SUMIF('JURNAL UMUM'!$E$5:$G$101,'BB PEMBANTU PIUTANG '!C4,'JURNAL UMUM'!F5:$F$101)</f>
        <v>30535000</v>
      </c>
      <c r="F10" s="234">
        <f ca="1">SUMIF('JURNAL UMUM'!E5:$G$101,'BB PEMBANTU PIUTANG '!C4,'JURNAL UMUM'!G5:$G$101)</f>
        <v>10000000</v>
      </c>
      <c r="G10" s="234">
        <f ca="1">IF(G9+E10&gt;H9+F10,((G9+E10)-(H9+F10)),0)</f>
        <v>30535000</v>
      </c>
      <c r="H10" s="234">
        <f ca="1">IF(H9+F10&gt;G9+E10,((H9+F10)-(G9+E10)),0)</f>
        <v>0</v>
      </c>
    </row>
    <row r="12" spans="1:8" x14ac:dyDescent="0.35">
      <c r="A12" s="32" t="s">
        <v>43</v>
      </c>
      <c r="C12" s="32" t="s">
        <v>72</v>
      </c>
    </row>
    <row r="13" spans="1:8" x14ac:dyDescent="0.35">
      <c r="A13" s="32" t="s">
        <v>12</v>
      </c>
      <c r="C13" s="32" t="str">
        <f>VLOOKUP(C12,'MASTER AKUN'!G7:J53,2,)</f>
        <v>Toko Buku Utama</v>
      </c>
    </row>
    <row r="15" spans="1:8" x14ac:dyDescent="0.35">
      <c r="A15" s="102" t="s">
        <v>29</v>
      </c>
      <c r="B15" s="102" t="s">
        <v>30</v>
      </c>
      <c r="C15" s="102" t="s">
        <v>13</v>
      </c>
      <c r="D15" s="102" t="s">
        <v>31</v>
      </c>
      <c r="E15" s="114" t="s">
        <v>32</v>
      </c>
      <c r="F15" s="114" t="s">
        <v>33</v>
      </c>
      <c r="G15" s="228" t="s">
        <v>34</v>
      </c>
      <c r="H15" s="228"/>
    </row>
    <row r="16" spans="1:8" x14ac:dyDescent="0.35">
      <c r="A16" s="102"/>
      <c r="B16" s="102"/>
      <c r="C16" s="102"/>
      <c r="D16" s="102"/>
      <c r="E16" s="114"/>
      <c r="F16" s="114"/>
      <c r="G16" s="114" t="s">
        <v>32</v>
      </c>
      <c r="H16" s="114" t="s">
        <v>33</v>
      </c>
    </row>
    <row r="17" spans="1:8" x14ac:dyDescent="0.35">
      <c r="A17" s="199">
        <v>40878</v>
      </c>
      <c r="B17" s="196"/>
      <c r="C17" s="196" t="s">
        <v>35</v>
      </c>
      <c r="D17" s="196"/>
      <c r="E17" s="239"/>
      <c r="F17" s="234"/>
      <c r="G17" s="240">
        <f>VLOOKUP(C12,'MASTER AKUN'!G15:$I$45,3,FALSE)</f>
        <v>15000000</v>
      </c>
      <c r="H17" s="234"/>
    </row>
    <row r="18" spans="1:8" x14ac:dyDescent="0.35">
      <c r="A18" s="199">
        <v>40908</v>
      </c>
      <c r="B18" s="196"/>
      <c r="C18" s="196" t="s">
        <v>290</v>
      </c>
      <c r="D18" s="196"/>
      <c r="E18" s="234">
        <f ca="1">SUMIF('JURNAL UMUM'!$E$5:$G$101,'BB PEMBANTU PIUTANG '!C12,'JURNAL UMUM'!F5:F101)</f>
        <v>29425000</v>
      </c>
      <c r="F18" s="234">
        <f ca="1">SUMIF('JURNAL UMUM'!E13:G109,'BB PEMBANTU PIUTANG '!C12,'JURNAL UMUM'!G13:G109)</f>
        <v>16925000</v>
      </c>
      <c r="G18" s="234">
        <f ca="1">IF(G17+E18&gt;H17+F18,((G17+E18)-(H17+F18)),0)</f>
        <v>27500000</v>
      </c>
      <c r="H18" s="234">
        <f ca="1">IF(H17+F18&gt;G17+E18,((H17+F18)-(G17+E18)),0)</f>
        <v>0</v>
      </c>
    </row>
    <row r="20" spans="1:8" x14ac:dyDescent="0.35">
      <c r="A20" s="32" t="s">
        <v>43</v>
      </c>
      <c r="C20" s="32" t="s">
        <v>74</v>
      </c>
    </row>
    <row r="21" spans="1:8" x14ac:dyDescent="0.35">
      <c r="A21" s="32" t="s">
        <v>12</v>
      </c>
      <c r="C21" s="32" t="str">
        <f>VLOOKUP(C20,'MASTER AKUN'!G7:J53,2,)</f>
        <v>CV Mebel Abadi</v>
      </c>
    </row>
    <row r="23" spans="1:8" x14ac:dyDescent="0.35">
      <c r="A23" s="102" t="s">
        <v>29</v>
      </c>
      <c r="B23" s="102" t="s">
        <v>30</v>
      </c>
      <c r="C23" s="102" t="s">
        <v>13</v>
      </c>
      <c r="D23" s="102" t="s">
        <v>31</v>
      </c>
      <c r="E23" s="114" t="s">
        <v>32</v>
      </c>
      <c r="F23" s="114" t="s">
        <v>33</v>
      </c>
      <c r="G23" s="228" t="s">
        <v>34</v>
      </c>
      <c r="H23" s="228"/>
    </row>
    <row r="24" spans="1:8" x14ac:dyDescent="0.35">
      <c r="A24" s="102"/>
      <c r="B24" s="102"/>
      <c r="C24" s="102"/>
      <c r="D24" s="102"/>
      <c r="E24" s="114"/>
      <c r="F24" s="114"/>
      <c r="G24" s="114" t="s">
        <v>32</v>
      </c>
      <c r="H24" s="114" t="s">
        <v>33</v>
      </c>
    </row>
    <row r="25" spans="1:8" x14ac:dyDescent="0.35">
      <c r="A25" s="199">
        <v>40878</v>
      </c>
      <c r="B25" s="196"/>
      <c r="C25" s="196" t="s">
        <v>35</v>
      </c>
      <c r="D25" s="196"/>
      <c r="E25" s="239"/>
      <c r="F25" s="234"/>
      <c r="G25" s="240">
        <f>VLOOKUP(C20,'MASTER AKUN'!G23:$I$45,3,FALSE)</f>
        <v>7500000</v>
      </c>
      <c r="H25" s="234"/>
    </row>
    <row r="26" spans="1:8" x14ac:dyDescent="0.35">
      <c r="A26" s="199">
        <v>40908</v>
      </c>
      <c r="B26" s="196"/>
      <c r="C26" s="196" t="s">
        <v>290</v>
      </c>
      <c r="D26" s="196"/>
      <c r="E26" s="234">
        <f ca="1">SUMIF('JURNAL UMUM'!$E$5:$G$101,'BB PEMBANTU PIUTANG '!C20,'JURNAL UMUM'!F21:$F$101)</f>
        <v>0</v>
      </c>
      <c r="F26" s="234">
        <f ca="1">SUMIF('JURNAL UMUM'!E21:$G$101,'BB PEMBANTU PIUTANG '!C20,'JURNAL UMUM'!G21:$G$101)</f>
        <v>7500000</v>
      </c>
      <c r="G26" s="234">
        <f ca="1">IF(G25+E26&gt;H25+F26,((G25+E26)-(H25+F26)),0)</f>
        <v>0</v>
      </c>
      <c r="H26" s="234">
        <f ca="1">IF(H25+F26&gt;G25+E26,((H25+F26)-(G25+E26)),0)</f>
        <v>0</v>
      </c>
    </row>
    <row r="28" spans="1:8" x14ac:dyDescent="0.35">
      <c r="A28" s="32" t="s">
        <v>43</v>
      </c>
      <c r="C28" s="32" t="s">
        <v>76</v>
      </c>
    </row>
    <row r="29" spans="1:8" x14ac:dyDescent="0.35">
      <c r="A29" s="32" t="s">
        <v>12</v>
      </c>
      <c r="C29" s="32" t="str">
        <f>VLOOKUP(C28,'MASTER AKUN'!G15:J61,2,)</f>
        <v>CV Sembilan Sembilan</v>
      </c>
    </row>
    <row r="31" spans="1:8" x14ac:dyDescent="0.35">
      <c r="A31" s="102" t="s">
        <v>29</v>
      </c>
      <c r="B31" s="102" t="s">
        <v>30</v>
      </c>
      <c r="C31" s="102" t="s">
        <v>13</v>
      </c>
      <c r="D31" s="102" t="s">
        <v>31</v>
      </c>
      <c r="E31" s="114" t="s">
        <v>32</v>
      </c>
      <c r="F31" s="114" t="s">
        <v>33</v>
      </c>
      <c r="G31" s="228" t="s">
        <v>34</v>
      </c>
      <c r="H31" s="228"/>
    </row>
    <row r="32" spans="1:8" x14ac:dyDescent="0.35">
      <c r="A32" s="102"/>
      <c r="B32" s="102"/>
      <c r="C32" s="102"/>
      <c r="D32" s="102"/>
      <c r="E32" s="114"/>
      <c r="F32" s="114"/>
      <c r="G32" s="114" t="s">
        <v>32</v>
      </c>
      <c r="H32" s="114" t="s">
        <v>33</v>
      </c>
    </row>
    <row r="33" spans="1:8" x14ac:dyDescent="0.35">
      <c r="A33" s="199">
        <v>40878</v>
      </c>
      <c r="B33" s="196"/>
      <c r="C33" s="196" t="s">
        <v>35</v>
      </c>
      <c r="D33" s="196"/>
      <c r="E33" s="239"/>
      <c r="F33" s="234"/>
      <c r="G33" s="240">
        <f>VLOOKUP(C28,'MASTER AKUN'!G31:$I$45,3,FALSE)</f>
        <v>15000000</v>
      </c>
      <c r="H33" s="234"/>
    </row>
    <row r="34" spans="1:8" x14ac:dyDescent="0.35">
      <c r="A34" s="199">
        <v>40908</v>
      </c>
      <c r="B34" s="196"/>
      <c r="C34" s="196" t="s">
        <v>290</v>
      </c>
      <c r="D34" s="196"/>
      <c r="E34" s="234">
        <f ca="1">SUMIF('JURNAL UMUM'!$E$5:$G$101,'BB PEMBANTU PIUTANG '!C28,'JURNAL UMUM'!F29:$F$101)</f>
        <v>0</v>
      </c>
      <c r="F34" s="234">
        <f ca="1">SUMIF('JURNAL UMUM'!$E$5:$G$101,'BB PEMBANTU PIUTANG '!C28,'JURNAL UMUM'!G5:G101)</f>
        <v>15000000</v>
      </c>
      <c r="G34" s="234">
        <f ca="1">IF(G33+E34&gt;H33+F34,((G33+E34)-(H33+F34)),0)</f>
        <v>0</v>
      </c>
      <c r="H34" s="234">
        <f ca="1">IF(H33+F34&gt;G33+E34,((H33+F34)-(G33+E34)),0)</f>
        <v>0</v>
      </c>
    </row>
    <row r="36" spans="1:8" x14ac:dyDescent="0.35">
      <c r="A36" s="32" t="s">
        <v>43</v>
      </c>
      <c r="C36" s="32" t="s">
        <v>77</v>
      </c>
    </row>
    <row r="37" spans="1:8" x14ac:dyDescent="0.35">
      <c r="A37" s="32" t="s">
        <v>12</v>
      </c>
      <c r="C37" s="32" t="str">
        <f>VLOOKUP(C36,'MASTER AKUN'!G23:J69,2,)</f>
        <v>Penjualan Counter</v>
      </c>
    </row>
    <row r="39" spans="1:8" x14ac:dyDescent="0.35">
      <c r="A39" s="102" t="s">
        <v>29</v>
      </c>
      <c r="B39" s="102" t="s">
        <v>30</v>
      </c>
      <c r="C39" s="102" t="s">
        <v>13</v>
      </c>
      <c r="D39" s="102" t="s">
        <v>31</v>
      </c>
      <c r="E39" s="114" t="s">
        <v>32</v>
      </c>
      <c r="F39" s="114" t="s">
        <v>33</v>
      </c>
      <c r="G39" s="228" t="s">
        <v>34</v>
      </c>
      <c r="H39" s="228"/>
    </row>
    <row r="40" spans="1:8" x14ac:dyDescent="0.35">
      <c r="A40" s="102"/>
      <c r="B40" s="102"/>
      <c r="C40" s="102"/>
      <c r="D40" s="102"/>
      <c r="E40" s="114"/>
      <c r="F40" s="114"/>
      <c r="G40" s="114" t="s">
        <v>32</v>
      </c>
      <c r="H40" s="114" t="s">
        <v>33</v>
      </c>
    </row>
    <row r="41" spans="1:8" x14ac:dyDescent="0.35">
      <c r="A41" s="199">
        <v>40878</v>
      </c>
      <c r="B41" s="196"/>
      <c r="C41" s="196" t="s">
        <v>35</v>
      </c>
      <c r="D41" s="196"/>
      <c r="E41" s="239"/>
      <c r="F41" s="234"/>
      <c r="G41" s="240">
        <f>VLOOKUP(C36,'MASTER AKUN'!G39:$I$45,3,FALSE)</f>
        <v>0</v>
      </c>
      <c r="H41" s="234"/>
    </row>
    <row r="42" spans="1:8" x14ac:dyDescent="0.35">
      <c r="A42" s="199">
        <v>40908</v>
      </c>
      <c r="B42" s="196"/>
      <c r="C42" s="196" t="s">
        <v>290</v>
      </c>
      <c r="D42" s="196"/>
      <c r="E42" s="234">
        <f ca="1">SUMIF('JURNAL UMUM'!$E$5:$G$101,'BB PEMBANTU PIUTANG '!C36,'JURNAL UMUM'!F37:$F$101)</f>
        <v>0</v>
      </c>
      <c r="F42" s="234">
        <f ca="1">SUMIF('JURNAL UMUM'!E37:$G$101,'BB PEMBANTU PIUTANG '!C36,'JURNAL UMUM'!G37:$G$101)</f>
        <v>0</v>
      </c>
      <c r="G42" s="234">
        <f ca="1">IF(G41+E42&gt;H41+F42,((G41+E42)-(H41+F42)),0)</f>
        <v>0</v>
      </c>
      <c r="H42" s="234">
        <f ca="1">IF(H41+F42&gt;G41+E42,((H41+F42)-(G41+E42)),0)</f>
        <v>0</v>
      </c>
    </row>
  </sheetData>
  <mergeCells count="7">
    <mergeCell ref="G31:H31"/>
    <mergeCell ref="G39:H39"/>
    <mergeCell ref="A1:H1"/>
    <mergeCell ref="A2:H2"/>
    <mergeCell ref="G7:H7"/>
    <mergeCell ref="G23:H23"/>
    <mergeCell ref="G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topLeftCell="A49" zoomScale="90" zoomScaleNormal="90" workbookViewId="0">
      <selection activeCell="A58" sqref="A58"/>
    </sheetView>
  </sheetViews>
  <sheetFormatPr defaultColWidth="9.1796875" defaultRowHeight="14.5" x14ac:dyDescent="0.35"/>
  <cols>
    <col min="1" max="1" width="16.54296875" style="32" bestFit="1" customWidth="1"/>
    <col min="2" max="2" width="14.26953125" style="32" bestFit="1" customWidth="1"/>
    <col min="3" max="3" width="16.453125" style="32" bestFit="1" customWidth="1"/>
    <col min="4" max="4" width="8.7265625" style="32" bestFit="1" customWidth="1"/>
    <col min="5" max="5" width="13.453125" style="106" customWidth="1"/>
    <col min="6" max="6" width="15.1796875" style="106" customWidth="1"/>
    <col min="7" max="7" width="8.7265625" style="32" bestFit="1" customWidth="1"/>
    <col min="8" max="8" width="13.08984375" style="106" customWidth="1"/>
    <col min="9" max="9" width="15.08984375" style="106" customWidth="1"/>
    <col min="10" max="10" width="10" style="32" customWidth="1"/>
    <col min="11" max="11" width="13.26953125" style="106" customWidth="1"/>
    <col min="12" max="12" width="15.453125" style="106" customWidth="1"/>
    <col min="13" max="16384" width="9.1796875" style="32"/>
  </cols>
  <sheetData>
    <row r="1" spans="1:12" x14ac:dyDescent="0.35">
      <c r="A1" s="58" t="s">
        <v>69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x14ac:dyDescent="0.35">
      <c r="A2" s="58" t="s">
        <v>67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4" spans="1:12" x14ac:dyDescent="0.35">
      <c r="A4" s="32" t="s">
        <v>44</v>
      </c>
      <c r="C4" s="32" t="s">
        <v>130</v>
      </c>
    </row>
    <row r="5" spans="1:12" x14ac:dyDescent="0.35">
      <c r="A5" s="32" t="s">
        <v>45</v>
      </c>
      <c r="C5" s="32" t="str">
        <f>VLOOKUP(C4,'MASTER AKUN'!G54:H64,2,FALSE)</f>
        <v>QUEEN C405</v>
      </c>
    </row>
    <row r="7" spans="1:12" x14ac:dyDescent="0.35">
      <c r="A7" s="202" t="s">
        <v>29</v>
      </c>
      <c r="B7" s="202" t="s">
        <v>30</v>
      </c>
      <c r="C7" s="202" t="s">
        <v>13</v>
      </c>
      <c r="D7" s="99" t="s">
        <v>46</v>
      </c>
      <c r="E7" s="99"/>
      <c r="F7" s="99"/>
      <c r="G7" s="99" t="s">
        <v>47</v>
      </c>
      <c r="H7" s="99"/>
      <c r="I7" s="99"/>
      <c r="J7" s="99" t="s">
        <v>34</v>
      </c>
      <c r="K7" s="99"/>
      <c r="L7" s="99"/>
    </row>
    <row r="8" spans="1:12" x14ac:dyDescent="0.35">
      <c r="A8" s="203"/>
      <c r="B8" s="203"/>
      <c r="C8" s="203"/>
      <c r="D8" s="102" t="s">
        <v>48</v>
      </c>
      <c r="E8" s="114" t="s">
        <v>49</v>
      </c>
      <c r="F8" s="114" t="s">
        <v>50</v>
      </c>
      <c r="G8" s="102" t="s">
        <v>48</v>
      </c>
      <c r="H8" s="114" t="s">
        <v>49</v>
      </c>
      <c r="I8" s="114" t="s">
        <v>50</v>
      </c>
      <c r="J8" s="102" t="s">
        <v>48</v>
      </c>
      <c r="K8" s="114" t="s">
        <v>49</v>
      </c>
      <c r="L8" s="114" t="s">
        <v>50</v>
      </c>
    </row>
    <row r="9" spans="1:12" x14ac:dyDescent="0.35">
      <c r="A9" s="199">
        <v>40878</v>
      </c>
      <c r="B9" s="199"/>
      <c r="C9" s="73" t="s">
        <v>35</v>
      </c>
      <c r="D9" s="73"/>
      <c r="E9" s="235"/>
      <c r="F9" s="235"/>
      <c r="G9" s="73"/>
      <c r="H9" s="235"/>
      <c r="I9" s="235"/>
      <c r="J9" s="82">
        <f>VLOOKUP(C4,'MASTER AKUN'!G54:N64,6,FALSE)</f>
        <v>15</v>
      </c>
      <c r="K9" s="235">
        <f>VLOOKUP(C4,'MASTER AKUN'!G54:N64,7,FALSE)</f>
        <v>1200000</v>
      </c>
      <c r="L9" s="235">
        <f>J9*K9</f>
        <v>18000000</v>
      </c>
    </row>
    <row r="10" spans="1:12" x14ac:dyDescent="0.35">
      <c r="A10" s="199">
        <v>40908</v>
      </c>
      <c r="B10" s="199"/>
      <c r="C10" s="73" t="s">
        <v>293</v>
      </c>
      <c r="D10" s="101">
        <f ca="1">SUMIF('JURNAL UMUM'!H5:$N$101,'BB PEMBANTU PERSEDIAAN'!C4,'JURNAL UMUM'!$I$5:$I$101)</f>
        <v>18</v>
      </c>
      <c r="E10" s="235">
        <f ca="1">F10/D10</f>
        <v>1200000</v>
      </c>
      <c r="F10" s="235">
        <f ca="1">SUMIF('JURNAL UMUM'!$H$5:$N$101,'BB PEMBANTU PERSEDIAAN'!C4,'JURNAL UMUM'!$K$5:$K$101)</f>
        <v>21600000</v>
      </c>
      <c r="G10" s="73">
        <f ca="1">SUMIF('JURNAL UMUM'!$H$5:$N$101,'BB PEMBANTU PERSEDIAAN'!C4,'JURNAL UMUM'!$L$5:$L$101)</f>
        <v>10</v>
      </c>
      <c r="H10" s="235">
        <f ca="1">I10/G10</f>
        <v>1200000</v>
      </c>
      <c r="I10" s="235">
        <f ca="1">SUMIF('JURNAL UMUM'!$H$5:$N$101,'BB PEMBANTU PERSEDIAAN'!C4,'JURNAL UMUM'!$N$5:$N$101)</f>
        <v>12000000</v>
      </c>
      <c r="J10" s="82">
        <f ca="1">J9+D10-G10</f>
        <v>23</v>
      </c>
      <c r="K10" s="235">
        <f ca="1">L10/J10</f>
        <v>1200000</v>
      </c>
      <c r="L10" s="235">
        <f ca="1">L9+F10-I10</f>
        <v>27600000</v>
      </c>
    </row>
    <row r="12" spans="1:12" x14ac:dyDescent="0.35">
      <c r="A12" s="32" t="s">
        <v>44</v>
      </c>
      <c r="C12" s="32" t="s">
        <v>131</v>
      </c>
    </row>
    <row r="13" spans="1:12" x14ac:dyDescent="0.35">
      <c r="A13" s="32" t="s">
        <v>45</v>
      </c>
      <c r="C13" s="32" t="str">
        <f>VLOOKUP(C12,'MASTER AKUN'!G54:H64,2,FALSE)</f>
        <v>QUEEN C605</v>
      </c>
    </row>
    <row r="15" spans="1:12" x14ac:dyDescent="0.35">
      <c r="A15" s="202" t="s">
        <v>29</v>
      </c>
      <c r="B15" s="202" t="s">
        <v>30</v>
      </c>
      <c r="C15" s="202" t="s">
        <v>13</v>
      </c>
      <c r="D15" s="99" t="s">
        <v>46</v>
      </c>
      <c r="E15" s="99"/>
      <c r="F15" s="99"/>
      <c r="G15" s="99" t="s">
        <v>47</v>
      </c>
      <c r="H15" s="99"/>
      <c r="I15" s="99"/>
      <c r="J15" s="99" t="s">
        <v>34</v>
      </c>
      <c r="K15" s="99"/>
      <c r="L15" s="99"/>
    </row>
    <row r="16" spans="1:12" x14ac:dyDescent="0.35">
      <c r="A16" s="203"/>
      <c r="B16" s="203"/>
      <c r="C16" s="203"/>
      <c r="D16" s="102" t="s">
        <v>48</v>
      </c>
      <c r="E16" s="114" t="s">
        <v>49</v>
      </c>
      <c r="F16" s="114" t="s">
        <v>50</v>
      </c>
      <c r="G16" s="102" t="s">
        <v>48</v>
      </c>
      <c r="H16" s="114" t="s">
        <v>49</v>
      </c>
      <c r="I16" s="114" t="s">
        <v>50</v>
      </c>
      <c r="J16" s="102" t="s">
        <v>48</v>
      </c>
      <c r="K16" s="114" t="s">
        <v>49</v>
      </c>
      <c r="L16" s="114" t="s">
        <v>50</v>
      </c>
    </row>
    <row r="17" spans="1:12" x14ac:dyDescent="0.35">
      <c r="A17" s="199">
        <v>40878</v>
      </c>
      <c r="B17" s="199"/>
      <c r="C17" s="73" t="s">
        <v>35</v>
      </c>
      <c r="D17" s="73"/>
      <c r="E17" s="235"/>
      <c r="F17" s="235"/>
      <c r="G17" s="73"/>
      <c r="H17" s="235"/>
      <c r="I17" s="235"/>
      <c r="J17" s="82">
        <f>VLOOKUP(C12,'MASTER AKUN'!G54:N64,6,FALSE)</f>
        <v>50</v>
      </c>
      <c r="K17" s="235">
        <f>VLOOKUP(C12,'MASTER AKUN'!G54:N64,7,FALSE)</f>
        <v>325000</v>
      </c>
      <c r="L17" s="235">
        <f>J17*K17</f>
        <v>16250000</v>
      </c>
    </row>
    <row r="18" spans="1:12" x14ac:dyDescent="0.35">
      <c r="A18" s="199">
        <v>40908</v>
      </c>
      <c r="B18" s="199"/>
      <c r="C18" s="73" t="s">
        <v>293</v>
      </c>
      <c r="D18" s="101">
        <f ca="1">SUMIF('JURNAL UMUM'!E5:$N$101,'BB PEMBANTU PERSEDIAAN'!C12,'JURNAL UMUM'!$I$5:$I$101)</f>
        <v>37</v>
      </c>
      <c r="E18" s="235">
        <f ca="1">F18/D18</f>
        <v>527027.02702702698</v>
      </c>
      <c r="F18" s="235">
        <f ca="1">SUMIF('JURNAL UMUM'!$H$5:$N$101,'BB PEMBANTU PERSEDIAAN'!C12,'JURNAL UMUM'!$K$5:$K$101)</f>
        <v>19500000</v>
      </c>
      <c r="G18" s="73">
        <f ca="1">SUMIF('JURNAL UMUM'!$H$5:$N$101,'BB PEMBANTU PERSEDIAAN'!C12,'JURNAL UMUM'!$L$5:$L$101)</f>
        <v>37</v>
      </c>
      <c r="H18" s="235">
        <f ca="1">I18/G18</f>
        <v>409662.16216216219</v>
      </c>
      <c r="I18" s="235">
        <f ca="1">SUMIF('JURNAL UMUM'!$H$5:$N$101,'BB PEMBANTU PERSEDIAAN'!C12,'JURNAL UMUM'!$N$5:$N$101)</f>
        <v>15157500</v>
      </c>
      <c r="J18" s="82">
        <f ca="1">J17+D18-G18</f>
        <v>50</v>
      </c>
      <c r="K18" s="235">
        <f ca="1">L18/J18</f>
        <v>411850</v>
      </c>
      <c r="L18" s="235">
        <f ca="1">L17+F18-I18</f>
        <v>20592500</v>
      </c>
    </row>
    <row r="20" spans="1:12" x14ac:dyDescent="0.35">
      <c r="A20" s="32" t="s">
        <v>44</v>
      </c>
      <c r="C20" s="32" t="s">
        <v>132</v>
      </c>
    </row>
    <row r="21" spans="1:12" x14ac:dyDescent="0.35">
      <c r="A21" s="32" t="s">
        <v>45</v>
      </c>
      <c r="C21" s="32" t="str">
        <f>VLOOKUP(C20,'MASTER AKUN'!G54:H64,2,FALSE)</f>
        <v>STONES C109</v>
      </c>
    </row>
    <row r="23" spans="1:12" x14ac:dyDescent="0.35">
      <c r="A23" s="202" t="s">
        <v>29</v>
      </c>
      <c r="B23" s="202" t="s">
        <v>30</v>
      </c>
      <c r="C23" s="202" t="s">
        <v>13</v>
      </c>
      <c r="D23" s="99" t="s">
        <v>46</v>
      </c>
      <c r="E23" s="99"/>
      <c r="F23" s="99"/>
      <c r="G23" s="99" t="s">
        <v>47</v>
      </c>
      <c r="H23" s="99"/>
      <c r="I23" s="99"/>
      <c r="J23" s="99" t="s">
        <v>34</v>
      </c>
      <c r="K23" s="99"/>
      <c r="L23" s="99"/>
    </row>
    <row r="24" spans="1:12" x14ac:dyDescent="0.35">
      <c r="A24" s="203"/>
      <c r="B24" s="203"/>
      <c r="C24" s="203"/>
      <c r="D24" s="102" t="s">
        <v>48</v>
      </c>
      <c r="E24" s="114" t="s">
        <v>49</v>
      </c>
      <c r="F24" s="114" t="s">
        <v>50</v>
      </c>
      <c r="G24" s="102" t="s">
        <v>48</v>
      </c>
      <c r="H24" s="114" t="s">
        <v>49</v>
      </c>
      <c r="I24" s="114" t="s">
        <v>50</v>
      </c>
      <c r="J24" s="102" t="s">
        <v>48</v>
      </c>
      <c r="K24" s="114" t="s">
        <v>49</v>
      </c>
      <c r="L24" s="114" t="s">
        <v>50</v>
      </c>
    </row>
    <row r="25" spans="1:12" x14ac:dyDescent="0.35">
      <c r="A25" s="199">
        <v>40878</v>
      </c>
      <c r="B25" s="199"/>
      <c r="C25" s="73" t="s">
        <v>35</v>
      </c>
      <c r="D25" s="73"/>
      <c r="E25" s="235"/>
      <c r="F25" s="235"/>
      <c r="G25" s="73"/>
      <c r="H25" s="235"/>
      <c r="I25" s="235"/>
      <c r="J25" s="82">
        <f>VLOOKUP(C20,'MASTER AKUN'!G54:N64,6,FALSE)</f>
        <v>20</v>
      </c>
      <c r="K25" s="241">
        <f>VLOOKUP(C20,'MASTER AKUN'!$G$54:$N$64,7,FALSE)</f>
        <v>1400000</v>
      </c>
      <c r="L25" s="235">
        <f>J25*K25</f>
        <v>28000000</v>
      </c>
    </row>
    <row r="26" spans="1:12" x14ac:dyDescent="0.35">
      <c r="A26" s="199">
        <v>40908</v>
      </c>
      <c r="B26" s="199"/>
      <c r="C26" s="73" t="s">
        <v>293</v>
      </c>
      <c r="D26" s="101">
        <f ca="1">SUMIF('JURNAL UMUM'!E13:$N$101,'BB PEMBANTU PERSEDIAAN'!C20,'JURNAL UMUM'!$I$5:$I$101)</f>
        <v>0</v>
      </c>
      <c r="E26" s="235" t="e">
        <f ca="1">F26/D26</f>
        <v>#DIV/0!</v>
      </c>
      <c r="F26" s="235">
        <f ca="1">SUMIF('JURNAL UMUM'!$H$5:$N$101,'BB PEMBANTU PERSEDIAAN'!C20,'JURNAL UMUM'!$K$5:$K$101)</f>
        <v>0</v>
      </c>
      <c r="G26" s="73">
        <f ca="1">SUMIF('JURNAL UMUM'!$H$5:$N$101,'BB PEMBANTU PERSEDIAAN'!C20,'JURNAL UMUM'!$L$5:$L$101)</f>
        <v>14</v>
      </c>
      <c r="H26" s="235">
        <f ca="1">I26/G26</f>
        <v>1400000</v>
      </c>
      <c r="I26" s="235">
        <f ca="1">SUMIF('JURNAL UMUM'!$H$5:$N$101,'BB PEMBANTU PERSEDIAAN'!C20,'JURNAL UMUM'!$N$5:$N$101)</f>
        <v>19600000</v>
      </c>
      <c r="J26" s="82">
        <f ca="1">J25+D26-G26</f>
        <v>6</v>
      </c>
      <c r="K26" s="235">
        <f ca="1">L26/J26</f>
        <v>1400000</v>
      </c>
      <c r="L26" s="235">
        <f ca="1">L25+F26-I26</f>
        <v>8400000</v>
      </c>
    </row>
    <row r="28" spans="1:12" x14ac:dyDescent="0.35">
      <c r="A28" s="32" t="s">
        <v>44</v>
      </c>
      <c r="C28" s="32" t="s">
        <v>144</v>
      </c>
    </row>
    <row r="29" spans="1:12" x14ac:dyDescent="0.35">
      <c r="A29" s="32" t="s">
        <v>45</v>
      </c>
      <c r="C29" s="32" t="str">
        <f>VLOOKUP(C28,'MASTER AKUN'!G54:H64,2,FALSE)</f>
        <v>STONES C303</v>
      </c>
    </row>
    <row r="31" spans="1:12" x14ac:dyDescent="0.35">
      <c r="A31" s="202" t="s">
        <v>29</v>
      </c>
      <c r="B31" s="202" t="s">
        <v>30</v>
      </c>
      <c r="C31" s="202" t="s">
        <v>13</v>
      </c>
      <c r="D31" s="99" t="s">
        <v>46</v>
      </c>
      <c r="E31" s="99"/>
      <c r="F31" s="99"/>
      <c r="G31" s="99" t="s">
        <v>47</v>
      </c>
      <c r="H31" s="99"/>
      <c r="I31" s="99"/>
      <c r="J31" s="99" t="s">
        <v>34</v>
      </c>
      <c r="K31" s="99"/>
      <c r="L31" s="99"/>
    </row>
    <row r="32" spans="1:12" x14ac:dyDescent="0.35">
      <c r="A32" s="203"/>
      <c r="B32" s="203"/>
      <c r="C32" s="203"/>
      <c r="D32" s="102" t="s">
        <v>48</v>
      </c>
      <c r="E32" s="114" t="s">
        <v>49</v>
      </c>
      <c r="F32" s="114" t="s">
        <v>50</v>
      </c>
      <c r="G32" s="102" t="s">
        <v>48</v>
      </c>
      <c r="H32" s="114" t="s">
        <v>49</v>
      </c>
      <c r="I32" s="114" t="s">
        <v>50</v>
      </c>
      <c r="J32" s="102" t="s">
        <v>48</v>
      </c>
      <c r="K32" s="114" t="s">
        <v>49</v>
      </c>
      <c r="L32" s="114" t="s">
        <v>50</v>
      </c>
    </row>
    <row r="33" spans="1:12" x14ac:dyDescent="0.35">
      <c r="A33" s="199">
        <v>40878</v>
      </c>
      <c r="B33" s="199"/>
      <c r="C33" s="73" t="s">
        <v>35</v>
      </c>
      <c r="D33" s="73"/>
      <c r="E33" s="235"/>
      <c r="F33" s="235"/>
      <c r="G33" s="73"/>
      <c r="H33" s="235"/>
      <c r="I33" s="235"/>
      <c r="J33" s="82">
        <f>VLOOKUP(C28,'MASTER AKUN'!G54:N64,6,FALSE)</f>
        <v>15</v>
      </c>
      <c r="K33" s="241">
        <f>VLOOKUP(C28,'MASTER AKUN'!$G$54:$N$64,7,FALSE)</f>
        <v>1200000</v>
      </c>
      <c r="L33" s="235">
        <f>J33*K33</f>
        <v>18000000</v>
      </c>
    </row>
    <row r="34" spans="1:12" x14ac:dyDescent="0.35">
      <c r="A34" s="199">
        <v>40908</v>
      </c>
      <c r="B34" s="199"/>
      <c r="C34" s="73" t="s">
        <v>293</v>
      </c>
      <c r="D34" s="101">
        <f ca="1">SUMIF('JURNAL UMUM'!E21:$N$101,'BB PEMBANTU PERSEDIAAN'!C28,'JURNAL UMUM'!$I$5:$I$101)</f>
        <v>0</v>
      </c>
      <c r="E34" s="235" t="e">
        <f ca="1">F34/D34</f>
        <v>#DIV/0!</v>
      </c>
      <c r="F34" s="235">
        <f ca="1">SUMIF('JURNAL UMUM'!$H$5:$N$101,'BB PEMBANTU PERSEDIAAN'!C28,'JURNAL UMUM'!$K$5:$K$101)</f>
        <v>0</v>
      </c>
      <c r="G34" s="73">
        <f ca="1">SUMIF('JURNAL UMUM'!$H$5:$N$101,'BB PEMBANTU PERSEDIAAN'!C28,'JURNAL UMUM'!$L$5:$L$101)</f>
        <v>0</v>
      </c>
      <c r="H34" s="235" t="e">
        <f ca="1">I34/G34</f>
        <v>#DIV/0!</v>
      </c>
      <c r="I34" s="235">
        <f ca="1">SUMIF('JURNAL UMUM'!$H$5:$N$101,'BB PEMBANTU PERSEDIAAN'!C28,'JURNAL UMUM'!$N$5:$N$101)</f>
        <v>0</v>
      </c>
      <c r="J34" s="82">
        <f ca="1">J33+D34-G34</f>
        <v>15</v>
      </c>
      <c r="K34" s="235">
        <f ca="1">L34/J34</f>
        <v>1200000</v>
      </c>
      <c r="L34" s="235">
        <f ca="1">L33+F34-I34</f>
        <v>18000000</v>
      </c>
    </row>
    <row r="36" spans="1:12" x14ac:dyDescent="0.35">
      <c r="A36" s="32" t="s">
        <v>44</v>
      </c>
      <c r="C36" s="32" t="s">
        <v>145</v>
      </c>
    </row>
    <row r="37" spans="1:12" x14ac:dyDescent="0.35">
      <c r="A37" s="32" t="s">
        <v>45</v>
      </c>
      <c r="C37" s="32" t="str">
        <f>VLOOKUP(C36,'MASTER AKUN'!G54:H64,2,FALSE)</f>
        <v>EBIET D708</v>
      </c>
    </row>
    <row r="39" spans="1:12" x14ac:dyDescent="0.35">
      <c r="A39" s="202" t="s">
        <v>29</v>
      </c>
      <c r="B39" s="202" t="s">
        <v>30</v>
      </c>
      <c r="C39" s="202" t="s">
        <v>13</v>
      </c>
      <c r="D39" s="99" t="s">
        <v>46</v>
      </c>
      <c r="E39" s="99"/>
      <c r="F39" s="99"/>
      <c r="G39" s="99" t="s">
        <v>47</v>
      </c>
      <c r="H39" s="99"/>
      <c r="I39" s="99"/>
      <c r="J39" s="99" t="s">
        <v>34</v>
      </c>
      <c r="K39" s="99"/>
      <c r="L39" s="99"/>
    </row>
    <row r="40" spans="1:12" x14ac:dyDescent="0.35">
      <c r="A40" s="203"/>
      <c r="B40" s="203"/>
      <c r="C40" s="203"/>
      <c r="D40" s="102" t="s">
        <v>48</v>
      </c>
      <c r="E40" s="114" t="s">
        <v>49</v>
      </c>
      <c r="F40" s="114" t="s">
        <v>50</v>
      </c>
      <c r="G40" s="102" t="s">
        <v>48</v>
      </c>
      <c r="H40" s="114" t="s">
        <v>49</v>
      </c>
      <c r="I40" s="114" t="s">
        <v>50</v>
      </c>
      <c r="J40" s="102" t="s">
        <v>48</v>
      </c>
      <c r="K40" s="114" t="s">
        <v>49</v>
      </c>
      <c r="L40" s="114" t="s">
        <v>50</v>
      </c>
    </row>
    <row r="41" spans="1:12" x14ac:dyDescent="0.35">
      <c r="A41" s="199">
        <v>40878</v>
      </c>
      <c r="B41" s="199"/>
      <c r="C41" s="73" t="s">
        <v>35</v>
      </c>
      <c r="D41" s="73"/>
      <c r="E41" s="235"/>
      <c r="F41" s="235"/>
      <c r="G41" s="73"/>
      <c r="H41" s="235"/>
      <c r="I41" s="235"/>
      <c r="J41" s="82">
        <f>VLOOKUP(C36,'MASTER AKUN'!G54:N64,6,FALSE)</f>
        <v>8</v>
      </c>
      <c r="K41" s="241">
        <f>VLOOKUP(C36,'MASTER AKUN'!$G$54:$N$64,7,FALSE)</f>
        <v>2850000</v>
      </c>
      <c r="L41" s="235">
        <f>J41*K41</f>
        <v>22800000</v>
      </c>
    </row>
    <row r="42" spans="1:12" x14ac:dyDescent="0.35">
      <c r="A42" s="199">
        <v>40908</v>
      </c>
      <c r="B42" s="199"/>
      <c r="C42" s="73" t="s">
        <v>293</v>
      </c>
      <c r="D42" s="101">
        <f ca="1">SUMIF('JURNAL UMUM'!E29:$N$101,'BB PEMBANTU PERSEDIAAN'!C36,'JURNAL UMUM'!$I$5:$I$101)</f>
        <v>0</v>
      </c>
      <c r="E42" s="235" t="e">
        <f ca="1">F42/D42</f>
        <v>#DIV/0!</v>
      </c>
      <c r="F42" s="235">
        <f ca="1">SUMIF('JURNAL UMUM'!$H$5:$N$101,'BB PEMBANTU PERSEDIAAN'!C36,'JURNAL UMUM'!$K$5:$K$101)</f>
        <v>0</v>
      </c>
      <c r="G42" s="73">
        <f ca="1">SUMIF('JURNAL UMUM'!$H$5:$N$101,'BB PEMBANTU PERSEDIAAN'!C36,'JURNAL UMUM'!$L$5:$L$101)</f>
        <v>4</v>
      </c>
      <c r="H42" s="235">
        <f ca="1">I42/G42</f>
        <v>2850000</v>
      </c>
      <c r="I42" s="235">
        <f ca="1">SUMIF('JURNAL UMUM'!$H$5:$N$101,'BB PEMBANTU PERSEDIAAN'!C36,'JURNAL UMUM'!$N$5:$N$101)</f>
        <v>11400000</v>
      </c>
      <c r="J42" s="82">
        <f ca="1">J41+D42-G42</f>
        <v>4</v>
      </c>
      <c r="K42" s="235">
        <f ca="1">L42/J42</f>
        <v>2850000</v>
      </c>
      <c r="L42" s="235">
        <f ca="1">L41+F42-I42</f>
        <v>11400000</v>
      </c>
    </row>
    <row r="44" spans="1:12" x14ac:dyDescent="0.35">
      <c r="A44" s="32" t="s">
        <v>44</v>
      </c>
      <c r="C44" s="32" t="s">
        <v>146</v>
      </c>
    </row>
    <row r="45" spans="1:12" x14ac:dyDescent="0.35">
      <c r="A45" s="32" t="s">
        <v>45</v>
      </c>
      <c r="C45" s="32" t="str">
        <f>VLOOKUP(C44,'MASTER AKUN'!G54:H64,2,FALSE)</f>
        <v>EBIET D908</v>
      </c>
    </row>
    <row r="47" spans="1:12" x14ac:dyDescent="0.35">
      <c r="A47" s="202" t="s">
        <v>29</v>
      </c>
      <c r="B47" s="202" t="s">
        <v>30</v>
      </c>
      <c r="C47" s="202" t="s">
        <v>13</v>
      </c>
      <c r="D47" s="99" t="s">
        <v>46</v>
      </c>
      <c r="E47" s="99"/>
      <c r="F47" s="99"/>
      <c r="G47" s="99" t="s">
        <v>47</v>
      </c>
      <c r="H47" s="99"/>
      <c r="I47" s="99"/>
      <c r="J47" s="99" t="s">
        <v>34</v>
      </c>
      <c r="K47" s="99"/>
      <c r="L47" s="99"/>
    </row>
    <row r="48" spans="1:12" x14ac:dyDescent="0.35">
      <c r="A48" s="203"/>
      <c r="B48" s="203"/>
      <c r="C48" s="203"/>
      <c r="D48" s="102" t="s">
        <v>48</v>
      </c>
      <c r="E48" s="114" t="s">
        <v>49</v>
      </c>
      <c r="F48" s="114" t="s">
        <v>50</v>
      </c>
      <c r="G48" s="102" t="s">
        <v>48</v>
      </c>
      <c r="H48" s="114" t="s">
        <v>49</v>
      </c>
      <c r="I48" s="114" t="s">
        <v>50</v>
      </c>
      <c r="J48" s="102" t="s">
        <v>48</v>
      </c>
      <c r="K48" s="114" t="s">
        <v>49</v>
      </c>
      <c r="L48" s="114" t="s">
        <v>50</v>
      </c>
    </row>
    <row r="49" spans="1:12" x14ac:dyDescent="0.35">
      <c r="A49" s="199">
        <v>40878</v>
      </c>
      <c r="B49" s="199"/>
      <c r="C49" s="73" t="s">
        <v>35</v>
      </c>
      <c r="D49" s="73"/>
      <c r="E49" s="235"/>
      <c r="F49" s="235"/>
      <c r="G49" s="73"/>
      <c r="H49" s="235"/>
      <c r="I49" s="235"/>
      <c r="J49" s="82">
        <f>VLOOKUP(C44,'MASTER AKUN'!G54:N64,6,FALSE)</f>
        <v>12</v>
      </c>
      <c r="K49" s="241">
        <f>VLOOKUP(C44,'MASTER AKUN'!$G$54:$N$64,7,FALSE)</f>
        <v>590000</v>
      </c>
      <c r="L49" s="235">
        <f>J49*K49</f>
        <v>7080000</v>
      </c>
    </row>
    <row r="50" spans="1:12" x14ac:dyDescent="0.35">
      <c r="A50" s="199">
        <v>40908</v>
      </c>
      <c r="B50" s="199"/>
      <c r="C50" s="73" t="s">
        <v>293</v>
      </c>
      <c r="D50" s="101">
        <f ca="1">SUMIF('JURNAL UMUM'!E37:$N$101,'BB PEMBANTU PERSEDIAAN'!C44,'JURNAL UMUM'!$I$5:$I$101)</f>
        <v>0</v>
      </c>
      <c r="E50" s="235" t="e">
        <f ca="1">F50/D50</f>
        <v>#DIV/0!</v>
      </c>
      <c r="F50" s="235">
        <f ca="1">SUMIF('JURNAL UMUM'!$H$5:$N$101,'BB PEMBANTU PERSEDIAAN'!C44,'JURNAL UMUM'!$K$5:$K$101)</f>
        <v>0</v>
      </c>
      <c r="G50" s="73">
        <f ca="1">SUMIF('JURNAL UMUM'!$H$5:$N$101,'BB PEMBANTU PERSEDIAAN'!C44,'JURNAL UMUM'!$L$5:$L$101)</f>
        <v>6</v>
      </c>
      <c r="H50" s="235">
        <f ca="1">I50/G50</f>
        <v>590000</v>
      </c>
      <c r="I50" s="235">
        <f ca="1">SUMIF('JURNAL UMUM'!$H$5:$N$101,'BB PEMBANTU PERSEDIAAN'!C44,'JURNAL UMUM'!$N$5:$N$101)</f>
        <v>3540000</v>
      </c>
      <c r="J50" s="82">
        <f ca="1">J49+D50-G50</f>
        <v>6</v>
      </c>
      <c r="K50" s="235">
        <f ca="1">L50/J50</f>
        <v>590000</v>
      </c>
      <c r="L50" s="235">
        <f ca="1">L49+F50-I50</f>
        <v>3540000</v>
      </c>
    </row>
    <row r="52" spans="1:12" x14ac:dyDescent="0.35">
      <c r="A52" s="32" t="s">
        <v>44</v>
      </c>
      <c r="C52" s="32" t="s">
        <v>147</v>
      </c>
    </row>
    <row r="53" spans="1:12" x14ac:dyDescent="0.35">
      <c r="A53" s="32" t="s">
        <v>45</v>
      </c>
      <c r="C53" s="32" t="str">
        <f>VLOOKUP(C52,'MASTER AKUN'!G62:H72,2,FALSE)</f>
        <v>TAMERLAND L1</v>
      </c>
    </row>
    <row r="55" spans="1:12" x14ac:dyDescent="0.35">
      <c r="A55" s="202" t="s">
        <v>29</v>
      </c>
      <c r="B55" s="202" t="s">
        <v>30</v>
      </c>
      <c r="C55" s="202" t="s">
        <v>13</v>
      </c>
      <c r="D55" s="99" t="s">
        <v>46</v>
      </c>
      <c r="E55" s="99"/>
      <c r="F55" s="99"/>
      <c r="G55" s="99" t="s">
        <v>47</v>
      </c>
      <c r="H55" s="99"/>
      <c r="I55" s="99"/>
      <c r="J55" s="99" t="s">
        <v>34</v>
      </c>
      <c r="K55" s="99"/>
      <c r="L55" s="99"/>
    </row>
    <row r="56" spans="1:12" x14ac:dyDescent="0.35">
      <c r="A56" s="203"/>
      <c r="B56" s="203"/>
      <c r="C56" s="203"/>
      <c r="D56" s="102" t="s">
        <v>48</v>
      </c>
      <c r="E56" s="114" t="s">
        <v>49</v>
      </c>
      <c r="F56" s="114" t="s">
        <v>50</v>
      </c>
      <c r="G56" s="102" t="s">
        <v>48</v>
      </c>
      <c r="H56" s="114" t="s">
        <v>49</v>
      </c>
      <c r="I56" s="114" t="s">
        <v>50</v>
      </c>
      <c r="J56" s="102" t="s">
        <v>48</v>
      </c>
      <c r="K56" s="114" t="s">
        <v>49</v>
      </c>
      <c r="L56" s="114" t="s">
        <v>50</v>
      </c>
    </row>
    <row r="57" spans="1:12" x14ac:dyDescent="0.35">
      <c r="A57" s="199">
        <v>40878</v>
      </c>
      <c r="B57" s="199"/>
      <c r="C57" s="73" t="s">
        <v>35</v>
      </c>
      <c r="D57" s="73"/>
      <c r="E57" s="235"/>
      <c r="F57" s="235"/>
      <c r="G57" s="73"/>
      <c r="H57" s="235"/>
      <c r="I57" s="235"/>
      <c r="J57" s="82">
        <f>VLOOKUP(C52,'MASTER AKUN'!G62:N72,6,FALSE)</f>
        <v>15</v>
      </c>
      <c r="K57" s="241">
        <f>VLOOKUP(C52,'MASTER AKUN'!$G$54:$N$64,7,FALSE)</f>
        <v>1300000</v>
      </c>
      <c r="L57" s="235">
        <f>J57*K57</f>
        <v>19500000</v>
      </c>
    </row>
    <row r="58" spans="1:12" x14ac:dyDescent="0.35">
      <c r="A58" s="199">
        <v>40908</v>
      </c>
      <c r="B58" s="199"/>
      <c r="C58" s="73" t="s">
        <v>293</v>
      </c>
      <c r="D58" s="101">
        <f ca="1">SUMIF('JURNAL UMUM'!E45:$N$101,'BB PEMBANTU PERSEDIAAN'!C52,'JURNAL UMUM'!$I$5:$I$101)</f>
        <v>0</v>
      </c>
      <c r="E58" s="235" t="e">
        <f ca="1">F58/D58</f>
        <v>#DIV/0!</v>
      </c>
      <c r="F58" s="235">
        <f ca="1">SUMIF('JURNAL UMUM'!$H$5:$N$101,'BB PEMBANTU PERSEDIAAN'!C52,'JURNAL UMUM'!$K$5:$K$101)</f>
        <v>0</v>
      </c>
      <c r="G58" s="73">
        <f ca="1">SUMIF('JURNAL UMUM'!$H$5:$N$101,'BB PEMBANTU PERSEDIAAN'!C52,'JURNAL UMUM'!$L$5:$L$101)</f>
        <v>12</v>
      </c>
      <c r="H58" s="235">
        <f ca="1">I58/G58</f>
        <v>1300000</v>
      </c>
      <c r="I58" s="235">
        <f ca="1">SUMIF('JURNAL UMUM'!$H$5:$N$101,'BB PEMBANTU PERSEDIAAN'!C52,'JURNAL UMUM'!$N$5:$N$101)</f>
        <v>15600000</v>
      </c>
      <c r="J58" s="82">
        <f ca="1">J57+D58-G58</f>
        <v>3</v>
      </c>
      <c r="K58" s="235">
        <f ca="1">L58/J58</f>
        <v>1300000</v>
      </c>
      <c r="L58" s="235">
        <f ca="1">L57+F58-I58</f>
        <v>3900000</v>
      </c>
    </row>
    <row r="60" spans="1:12" x14ac:dyDescent="0.35">
      <c r="A60" s="32" t="s">
        <v>44</v>
      </c>
      <c r="C60" s="32" t="s">
        <v>148</v>
      </c>
    </row>
    <row r="61" spans="1:12" x14ac:dyDescent="0.35">
      <c r="A61" s="32" t="s">
        <v>45</v>
      </c>
      <c r="C61" s="32" t="str">
        <f>VLOOKUP(C60,'MASTER AKUN'!G54:H64,2,FALSE)</f>
        <v>TAMERLAND L2</v>
      </c>
    </row>
    <row r="63" spans="1:12" x14ac:dyDescent="0.35">
      <c r="A63" s="202" t="s">
        <v>29</v>
      </c>
      <c r="B63" s="202" t="s">
        <v>30</v>
      </c>
      <c r="C63" s="202" t="s">
        <v>13</v>
      </c>
      <c r="D63" s="99" t="s">
        <v>46</v>
      </c>
      <c r="E63" s="99"/>
      <c r="F63" s="99"/>
      <c r="G63" s="99" t="s">
        <v>47</v>
      </c>
      <c r="H63" s="99"/>
      <c r="I63" s="99"/>
      <c r="J63" s="99" t="s">
        <v>34</v>
      </c>
      <c r="K63" s="99"/>
      <c r="L63" s="99"/>
    </row>
    <row r="64" spans="1:12" x14ac:dyDescent="0.35">
      <c r="A64" s="203"/>
      <c r="B64" s="203"/>
      <c r="C64" s="203"/>
      <c r="D64" s="102" t="s">
        <v>48</v>
      </c>
      <c r="E64" s="114" t="s">
        <v>49</v>
      </c>
      <c r="F64" s="114" t="s">
        <v>50</v>
      </c>
      <c r="G64" s="102" t="s">
        <v>48</v>
      </c>
      <c r="H64" s="114" t="s">
        <v>49</v>
      </c>
      <c r="I64" s="114" t="s">
        <v>50</v>
      </c>
      <c r="J64" s="102" t="s">
        <v>48</v>
      </c>
      <c r="K64" s="114" t="s">
        <v>49</v>
      </c>
      <c r="L64" s="114" t="s">
        <v>50</v>
      </c>
    </row>
    <row r="65" spans="1:12" x14ac:dyDescent="0.35">
      <c r="A65" s="199">
        <v>40878</v>
      </c>
      <c r="B65" s="199"/>
      <c r="C65" s="73" t="s">
        <v>35</v>
      </c>
      <c r="D65" s="73"/>
      <c r="E65" s="235"/>
      <c r="F65" s="235"/>
      <c r="G65" s="73"/>
      <c r="H65" s="235"/>
      <c r="I65" s="235"/>
      <c r="J65" s="82">
        <f>VLOOKUP(C60,'MASTER AKUN'!G54:N64,6,FALSE)</f>
        <v>12</v>
      </c>
      <c r="K65" s="241">
        <f>VLOOKUP(C60,'MASTER AKUN'!$G$54:$N$64,7,FALSE)</f>
        <v>1750000</v>
      </c>
      <c r="L65" s="235">
        <f>J65*K65</f>
        <v>21000000</v>
      </c>
    </row>
    <row r="66" spans="1:12" x14ac:dyDescent="0.35">
      <c r="A66" s="199">
        <v>40908</v>
      </c>
      <c r="B66" s="199"/>
      <c r="C66" s="73" t="s">
        <v>293</v>
      </c>
      <c r="D66" s="101">
        <f ca="1">SUMIF('JURNAL UMUM'!E53:$N$101,'BB PEMBANTU PERSEDIAAN'!C60,'JURNAL UMUM'!$I$5:$I$101)</f>
        <v>0</v>
      </c>
      <c r="E66" s="235" t="e">
        <f ca="1">F66/D66</f>
        <v>#DIV/0!</v>
      </c>
      <c r="F66" s="235">
        <f ca="1">SUMIF('JURNAL UMUM'!$H$5:$N$101,'BB PEMBANTU PERSEDIAAN'!C60,'JURNAL UMUM'!$K$5:$K$101)</f>
        <v>0</v>
      </c>
      <c r="G66" s="73">
        <f ca="1">SUMIF('JURNAL UMUM'!$H$5:$N$101,'BB PEMBANTU PERSEDIAAN'!C60,'JURNAL UMUM'!$L$5:$L$101)</f>
        <v>11</v>
      </c>
      <c r="H66" s="235">
        <f ca="1">I66/G66</f>
        <v>1750000</v>
      </c>
      <c r="I66" s="235">
        <f ca="1">SUMIF('JURNAL UMUM'!$H$5:$N$101,'BB PEMBANTU PERSEDIAAN'!C60,'JURNAL UMUM'!$N$5:$N$101)</f>
        <v>19250000</v>
      </c>
      <c r="J66" s="82">
        <f ca="1">J65+D66-G66</f>
        <v>1</v>
      </c>
      <c r="K66" s="235">
        <f ca="1">L66/J66</f>
        <v>1750000</v>
      </c>
      <c r="L66" s="235">
        <f ca="1">L65+F66-I66</f>
        <v>1750000</v>
      </c>
    </row>
    <row r="68" spans="1:12" x14ac:dyDescent="0.35">
      <c r="A68" s="32" t="s">
        <v>44</v>
      </c>
      <c r="C68" s="32" t="s">
        <v>149</v>
      </c>
    </row>
    <row r="69" spans="1:12" x14ac:dyDescent="0.35">
      <c r="A69" s="32" t="s">
        <v>45</v>
      </c>
      <c r="C69" s="32" t="str">
        <f>VLOOKUP(C68,'MASTER AKUN'!G62:H72,2,FALSE)</f>
        <v>TAMERLAND L3</v>
      </c>
    </row>
    <row r="71" spans="1:12" x14ac:dyDescent="0.35">
      <c r="A71" s="202" t="s">
        <v>29</v>
      </c>
      <c r="B71" s="202" t="s">
        <v>30</v>
      </c>
      <c r="C71" s="202" t="s">
        <v>13</v>
      </c>
      <c r="D71" s="99" t="s">
        <v>46</v>
      </c>
      <c r="E71" s="99"/>
      <c r="F71" s="99"/>
      <c r="G71" s="99" t="s">
        <v>47</v>
      </c>
      <c r="H71" s="99"/>
      <c r="I71" s="99"/>
      <c r="J71" s="99" t="s">
        <v>34</v>
      </c>
      <c r="K71" s="99"/>
      <c r="L71" s="99"/>
    </row>
    <row r="72" spans="1:12" x14ac:dyDescent="0.35">
      <c r="A72" s="203"/>
      <c r="B72" s="203"/>
      <c r="C72" s="203"/>
      <c r="D72" s="102" t="s">
        <v>48</v>
      </c>
      <c r="E72" s="114" t="s">
        <v>49</v>
      </c>
      <c r="F72" s="114" t="s">
        <v>50</v>
      </c>
      <c r="G72" s="102" t="s">
        <v>48</v>
      </c>
      <c r="H72" s="114" t="s">
        <v>49</v>
      </c>
      <c r="I72" s="114" t="s">
        <v>50</v>
      </c>
      <c r="J72" s="102" t="s">
        <v>48</v>
      </c>
      <c r="K72" s="114" t="s">
        <v>49</v>
      </c>
      <c r="L72" s="114" t="s">
        <v>50</v>
      </c>
    </row>
    <row r="73" spans="1:12" x14ac:dyDescent="0.35">
      <c r="A73" s="199">
        <v>40878</v>
      </c>
      <c r="B73" s="199"/>
      <c r="C73" s="73" t="s">
        <v>35</v>
      </c>
      <c r="D73" s="73"/>
      <c r="E73" s="235"/>
      <c r="F73" s="235"/>
      <c r="G73" s="73"/>
      <c r="H73" s="235"/>
      <c r="I73" s="235"/>
      <c r="J73" s="82">
        <f>VLOOKUP(C68,'MASTER AKUN'!G62:N72,6,FALSE)</f>
        <v>15</v>
      </c>
      <c r="K73" s="241">
        <f>VLOOKUP(C68,'MASTER AKUN'!$G$54:$N$64,7,FALSE)</f>
        <v>1050000</v>
      </c>
      <c r="L73" s="235">
        <f>J73*K73</f>
        <v>15750000</v>
      </c>
    </row>
    <row r="74" spans="1:12" x14ac:dyDescent="0.35">
      <c r="A74" s="199">
        <v>40908</v>
      </c>
      <c r="B74" s="199"/>
      <c r="C74" s="73" t="s">
        <v>293</v>
      </c>
      <c r="D74" s="101">
        <f ca="1">SUMIF('JURNAL UMUM'!E61:$N$101,'BB PEMBANTU PERSEDIAAN'!C68,'JURNAL UMUM'!$I$5:$I$101)</f>
        <v>0</v>
      </c>
      <c r="E74" s="235" t="e">
        <f ca="1">F74/D74</f>
        <v>#DIV/0!</v>
      </c>
      <c r="F74" s="235">
        <f ca="1">SUMIF('JURNAL UMUM'!$H$5:$N$101,'BB PEMBANTU PERSEDIAAN'!C68,'JURNAL UMUM'!$K$5:$K$101)</f>
        <v>0</v>
      </c>
      <c r="G74" s="73">
        <f ca="1">SUMIF('JURNAL UMUM'!$H$5:$N$101,'BB PEMBANTU PERSEDIAAN'!C68,'JURNAL UMUM'!$L$5:$L$101)</f>
        <v>7</v>
      </c>
      <c r="H74" s="235">
        <f ca="1">I74/G74</f>
        <v>1050000</v>
      </c>
      <c r="I74" s="235">
        <f ca="1">SUMIF('JURNAL UMUM'!$H$5:$N$101,'BB PEMBANTU PERSEDIAAN'!C68,'JURNAL UMUM'!$N$5:$N$101)</f>
        <v>7350000</v>
      </c>
      <c r="J74" s="82">
        <f ca="1">J73+D74-G74</f>
        <v>8</v>
      </c>
      <c r="K74" s="235">
        <f ca="1">L74/J74</f>
        <v>1050000</v>
      </c>
      <c r="L74" s="235">
        <f ca="1">L73+F74-I74</f>
        <v>8400000</v>
      </c>
    </row>
  </sheetData>
  <mergeCells count="56">
    <mergeCell ref="J63:L63"/>
    <mergeCell ref="A71:A72"/>
    <mergeCell ref="B71:B72"/>
    <mergeCell ref="C71:C72"/>
    <mergeCell ref="D71:F71"/>
    <mergeCell ref="G71:I71"/>
    <mergeCell ref="J71:L71"/>
    <mergeCell ref="A63:A64"/>
    <mergeCell ref="B63:B64"/>
    <mergeCell ref="C63:C64"/>
    <mergeCell ref="D63:F63"/>
    <mergeCell ref="G63:I63"/>
    <mergeCell ref="J47:L47"/>
    <mergeCell ref="A55:A56"/>
    <mergeCell ref="B55:B56"/>
    <mergeCell ref="C55:C56"/>
    <mergeCell ref="D55:F55"/>
    <mergeCell ref="G55:I55"/>
    <mergeCell ref="J55:L55"/>
    <mergeCell ref="A47:A48"/>
    <mergeCell ref="B47:B48"/>
    <mergeCell ref="C47:C48"/>
    <mergeCell ref="D47:F47"/>
    <mergeCell ref="G47:I47"/>
    <mergeCell ref="D31:F31"/>
    <mergeCell ref="G31:I31"/>
    <mergeCell ref="J31:L31"/>
    <mergeCell ref="A39:A40"/>
    <mergeCell ref="B39:B40"/>
    <mergeCell ref="C39:C40"/>
    <mergeCell ref="D39:F39"/>
    <mergeCell ref="G39:I39"/>
    <mergeCell ref="J39:L39"/>
    <mergeCell ref="A23:A24"/>
    <mergeCell ref="B23:B24"/>
    <mergeCell ref="C23:C24"/>
    <mergeCell ref="A31:A32"/>
    <mergeCell ref="B31:B32"/>
    <mergeCell ref="C31:C32"/>
    <mergeCell ref="A15:A16"/>
    <mergeCell ref="B15:B16"/>
    <mergeCell ref="C15:C16"/>
    <mergeCell ref="A1:L1"/>
    <mergeCell ref="A2:L2"/>
    <mergeCell ref="G23:I23"/>
    <mergeCell ref="J23:L23"/>
    <mergeCell ref="D23:F23"/>
    <mergeCell ref="D15:F15"/>
    <mergeCell ref="G15:I15"/>
    <mergeCell ref="J15:L15"/>
    <mergeCell ref="D7:F7"/>
    <mergeCell ref="G7:I7"/>
    <mergeCell ref="J7:L7"/>
    <mergeCell ref="A7:A8"/>
    <mergeCell ref="B7:B8"/>
    <mergeCell ref="C7:C8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G19" sqref="G19"/>
    </sheetView>
  </sheetViews>
  <sheetFormatPr defaultRowHeight="14.5" x14ac:dyDescent="0.35"/>
  <cols>
    <col min="1" max="1" width="8.7265625" style="210"/>
    <col min="2" max="2" width="10.36328125" customWidth="1"/>
    <col min="3" max="3" width="12.81640625" customWidth="1"/>
    <col min="4" max="4" width="34.7265625" customWidth="1"/>
    <col min="6" max="6" width="17.6328125" style="111" customWidth="1"/>
    <col min="7" max="7" width="17.54296875" style="111" customWidth="1"/>
  </cols>
  <sheetData>
    <row r="1" spans="1:12" x14ac:dyDescent="0.35">
      <c r="A1" s="58" t="s">
        <v>69</v>
      </c>
      <c r="B1" s="58"/>
      <c r="C1" s="58"/>
      <c r="D1" s="58"/>
      <c r="E1" s="58"/>
      <c r="F1" s="58"/>
      <c r="G1" s="58"/>
      <c r="H1" s="138"/>
      <c r="I1" s="138"/>
      <c r="J1" s="138"/>
      <c r="K1" s="138"/>
      <c r="L1" s="138"/>
    </row>
    <row r="2" spans="1:12" x14ac:dyDescent="0.35">
      <c r="A2" s="254" t="s">
        <v>294</v>
      </c>
      <c r="B2" s="254"/>
      <c r="C2" s="254"/>
      <c r="D2" s="254"/>
      <c r="E2" s="254"/>
      <c r="F2" s="254"/>
      <c r="G2" s="254"/>
    </row>
    <row r="4" spans="1:12" x14ac:dyDescent="0.35">
      <c r="A4" s="143" t="s">
        <v>303</v>
      </c>
      <c r="B4" s="96" t="s">
        <v>19</v>
      </c>
      <c r="C4" s="96" t="s">
        <v>304</v>
      </c>
      <c r="D4" s="96" t="s">
        <v>37</v>
      </c>
      <c r="E4" s="96" t="s">
        <v>8</v>
      </c>
      <c r="F4" s="257" t="s">
        <v>295</v>
      </c>
      <c r="G4" s="257" t="s">
        <v>10</v>
      </c>
    </row>
    <row r="5" spans="1:12" x14ac:dyDescent="0.35">
      <c r="A5" s="243" t="s">
        <v>182</v>
      </c>
      <c r="B5" s="199">
        <v>40908</v>
      </c>
      <c r="C5" s="73" t="s">
        <v>305</v>
      </c>
      <c r="D5" s="73" t="str">
        <f>VLOOKUP(A5,'MASTER AKUN'!A4:B59,2,FALSE)</f>
        <v>Beban Penyusutan peralatan Kantor</v>
      </c>
      <c r="E5" s="73"/>
      <c r="F5" s="74">
        <v>400000</v>
      </c>
      <c r="G5" s="74"/>
    </row>
    <row r="6" spans="1:12" x14ac:dyDescent="0.35">
      <c r="A6" s="246" t="s">
        <v>194</v>
      </c>
      <c r="B6" s="73"/>
      <c r="C6" s="73" t="s">
        <v>313</v>
      </c>
      <c r="D6" s="73" t="str">
        <f>VLOOKUP(A6,'MASTER AKUN'!A5:B60,2,FALSE)</f>
        <v>Akumulasi Penyusutan Peralatan Kantor</v>
      </c>
      <c r="E6" s="73"/>
      <c r="F6" s="74"/>
      <c r="G6" s="74">
        <v>400000</v>
      </c>
    </row>
    <row r="7" spans="1:12" x14ac:dyDescent="0.35">
      <c r="A7" s="69" t="s">
        <v>181</v>
      </c>
      <c r="B7" s="73"/>
      <c r="C7" s="73" t="s">
        <v>314</v>
      </c>
      <c r="D7" s="73" t="str">
        <f>VLOOKUP(A7,'MASTER AKUN'!A6:B61,2,FALSE)</f>
        <v>Beban Penyusutan Kendaraan</v>
      </c>
      <c r="E7" s="73"/>
      <c r="F7" s="74">
        <v>500000</v>
      </c>
      <c r="G7" s="74"/>
    </row>
    <row r="8" spans="1:12" x14ac:dyDescent="0.35">
      <c r="A8" s="246" t="s">
        <v>197</v>
      </c>
      <c r="B8" s="73"/>
      <c r="C8" s="73" t="s">
        <v>315</v>
      </c>
      <c r="D8" s="73" t="str">
        <f>VLOOKUP(A8,'MASTER AKUN'!A7:B62,2,FALSE)</f>
        <v>Akumulasi Penyusutan Kendaraan</v>
      </c>
      <c r="E8" s="73"/>
      <c r="F8" s="74"/>
      <c r="G8" s="74">
        <v>500000</v>
      </c>
    </row>
    <row r="9" spans="1:12" x14ac:dyDescent="0.35">
      <c r="A9" s="69"/>
      <c r="B9" s="73"/>
      <c r="C9" s="73"/>
      <c r="D9" s="73"/>
      <c r="E9" s="73"/>
      <c r="F9" s="74"/>
      <c r="G9" s="74"/>
    </row>
    <row r="10" spans="1:12" x14ac:dyDescent="0.35">
      <c r="A10" s="69" t="s">
        <v>172</v>
      </c>
      <c r="B10" s="199">
        <v>40908</v>
      </c>
      <c r="C10" s="73" t="s">
        <v>306</v>
      </c>
      <c r="D10" s="73" t="str">
        <f>VLOOKUP(A10,'MASTER AKUN'!A9:B64,2,FALSE)</f>
        <v>Beban bunga</v>
      </c>
      <c r="E10" s="73"/>
      <c r="F10" s="74">
        <v>1500000</v>
      </c>
      <c r="G10" s="74"/>
    </row>
    <row r="11" spans="1:12" x14ac:dyDescent="0.35">
      <c r="A11" s="69" t="s">
        <v>201</v>
      </c>
      <c r="B11" s="73"/>
      <c r="C11" s="73" t="s">
        <v>312</v>
      </c>
      <c r="D11" s="73" t="str">
        <f>VLOOKUP(A11,'MASTER AKUN'!A10:B65,2,FALSE)</f>
        <v xml:space="preserve">Hutang Bunga </v>
      </c>
      <c r="E11" s="73"/>
      <c r="F11" s="74"/>
      <c r="G11" s="74">
        <v>1500000</v>
      </c>
    </row>
    <row r="12" spans="1:12" x14ac:dyDescent="0.35">
      <c r="A12" s="69"/>
      <c r="B12" s="73"/>
      <c r="C12" s="73"/>
      <c r="D12" s="73"/>
      <c r="E12" s="73"/>
      <c r="F12" s="74"/>
      <c r="G12" s="74"/>
    </row>
    <row r="13" spans="1:12" x14ac:dyDescent="0.35">
      <c r="A13" s="69" t="s">
        <v>292</v>
      </c>
      <c r="B13" s="199">
        <v>40908</v>
      </c>
      <c r="C13" s="73" t="s">
        <v>307</v>
      </c>
      <c r="D13" s="73" t="str">
        <f>VLOOKUP(A13,'MASTER AKUN'!A12:B67,2,FALSE)</f>
        <v>Beban Piutang Tak Tertagih</v>
      </c>
      <c r="E13" s="73"/>
      <c r="F13" s="74">
        <v>2375000</v>
      </c>
      <c r="G13" s="74"/>
    </row>
    <row r="14" spans="1:12" x14ac:dyDescent="0.35">
      <c r="A14" s="69" t="s">
        <v>168</v>
      </c>
      <c r="B14" s="73"/>
      <c r="C14" s="73" t="s">
        <v>311</v>
      </c>
      <c r="D14" s="73" t="str">
        <f>VLOOKUP(A14,'MASTER AKUN'!A4:B59,2,FALSE)</f>
        <v>Cadangan Piutang Tak Tertagih</v>
      </c>
      <c r="E14" s="73"/>
      <c r="F14" s="74"/>
      <c r="G14" s="74">
        <v>2375000</v>
      </c>
    </row>
    <row r="15" spans="1:12" x14ac:dyDescent="0.35">
      <c r="A15" s="69"/>
      <c r="B15" s="73"/>
      <c r="C15" s="73"/>
      <c r="D15" s="73"/>
      <c r="E15" s="73"/>
      <c r="F15" s="74"/>
      <c r="G15" s="74"/>
    </row>
    <row r="16" spans="1:12" x14ac:dyDescent="0.35">
      <c r="A16" s="69" t="s">
        <v>162</v>
      </c>
      <c r="B16" s="199">
        <v>40908</v>
      </c>
      <c r="C16" s="73" t="s">
        <v>308</v>
      </c>
      <c r="D16" s="73" t="str">
        <f>VLOOKUP(A16,'MASTER AKUN'!A4:B59,2,FALSE)</f>
        <v>Kas Di Tangan</v>
      </c>
      <c r="E16" s="73"/>
      <c r="F16" s="74">
        <v>1200000</v>
      </c>
      <c r="G16" s="74"/>
    </row>
    <row r="17" spans="1:7" x14ac:dyDescent="0.35">
      <c r="A17" s="69" t="s">
        <v>173</v>
      </c>
      <c r="B17" s="73"/>
      <c r="C17" s="73" t="s">
        <v>309</v>
      </c>
      <c r="D17" s="73" t="str">
        <f>VLOOKUP(A17,'MASTER AKUN'!A16:B71,2,FALSE)</f>
        <v>Beban Administrasi Bank</v>
      </c>
      <c r="E17" s="73"/>
      <c r="F17" s="111">
        <v>150000</v>
      </c>
      <c r="G17" s="74"/>
    </row>
    <row r="18" spans="1:7" x14ac:dyDescent="0.35">
      <c r="A18" s="245" t="s">
        <v>174</v>
      </c>
      <c r="B18" s="73"/>
      <c r="C18" s="73" t="s">
        <v>310</v>
      </c>
      <c r="D18" s="73" t="str">
        <f>VLOOKUP(A18,'MASTER AKUN'!A17:B72,2,FALSE)</f>
        <v>Pendapatan Jasa Giro</v>
      </c>
      <c r="E18" s="73"/>
      <c r="F18" s="74"/>
      <c r="G18" s="74">
        <v>1350000</v>
      </c>
    </row>
    <row r="19" spans="1:7" x14ac:dyDescent="0.35">
      <c r="A19" s="245"/>
      <c r="B19" s="208"/>
      <c r="C19" s="208"/>
      <c r="D19" s="208"/>
      <c r="E19" s="208"/>
      <c r="F19" s="247">
        <f>SUM(F5:F17)</f>
        <v>6125000</v>
      </c>
      <c r="G19" s="247">
        <f>SUM(G6:G18)</f>
        <v>6125000</v>
      </c>
    </row>
    <row r="20" spans="1:7" x14ac:dyDescent="0.35">
      <c r="A20" s="253"/>
      <c r="B20" s="248"/>
      <c r="C20" s="248"/>
      <c r="D20" s="248"/>
      <c r="E20" s="248"/>
      <c r="F20" s="249"/>
      <c r="G20" s="249"/>
    </row>
  </sheetData>
  <mergeCells count="2">
    <mergeCell ref="A2:G2"/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topLeftCell="D32" zoomScaleNormal="100" workbookViewId="0">
      <selection activeCell="M55" sqref="M55"/>
    </sheetView>
  </sheetViews>
  <sheetFormatPr defaultRowHeight="14.5" x14ac:dyDescent="0.35"/>
  <cols>
    <col min="1" max="1" width="8.7265625" style="209"/>
    <col min="2" max="2" width="34.26953125" customWidth="1"/>
    <col min="4" max="4" width="16.26953125" style="111" customWidth="1"/>
    <col min="5" max="5" width="15.81640625" style="111" customWidth="1"/>
    <col min="6" max="7" width="16.90625" style="111" customWidth="1"/>
    <col min="8" max="8" width="17.36328125" style="111" customWidth="1"/>
    <col min="9" max="9" width="16.81640625" style="111" customWidth="1"/>
    <col min="10" max="10" width="14.7265625" style="111" customWidth="1"/>
    <col min="11" max="11" width="14.6328125" style="111" customWidth="1"/>
    <col min="12" max="12" width="16.81640625" style="111" customWidth="1"/>
    <col min="13" max="13" width="16.1796875" style="111" customWidth="1"/>
  </cols>
  <sheetData>
    <row r="1" spans="1:13" x14ac:dyDescent="0.35">
      <c r="A1" s="58" t="s">
        <v>69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3" x14ac:dyDescent="0.35">
      <c r="A2" s="58" t="s">
        <v>296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4" spans="1:13" x14ac:dyDescent="0.35">
      <c r="A4" s="264" t="s">
        <v>297</v>
      </c>
      <c r="B4" s="258" t="s">
        <v>37</v>
      </c>
      <c r="C4" s="258" t="s">
        <v>8</v>
      </c>
      <c r="D4" s="259" t="s">
        <v>298</v>
      </c>
      <c r="E4" s="259"/>
      <c r="F4" s="259" t="s">
        <v>299</v>
      </c>
      <c r="G4" s="259"/>
      <c r="H4" s="259" t="s">
        <v>300</v>
      </c>
      <c r="I4" s="259"/>
      <c r="J4" s="259" t="s">
        <v>301</v>
      </c>
      <c r="K4" s="259"/>
      <c r="L4" s="260" t="s">
        <v>302</v>
      </c>
      <c r="M4" s="260"/>
    </row>
    <row r="5" spans="1:13" x14ac:dyDescent="0.35">
      <c r="A5" s="264"/>
      <c r="B5" s="258"/>
      <c r="C5" s="258"/>
      <c r="D5" s="257" t="s">
        <v>295</v>
      </c>
      <c r="E5" s="257" t="s">
        <v>10</v>
      </c>
      <c r="F5" s="257" t="s">
        <v>295</v>
      </c>
      <c r="G5" s="257" t="s">
        <v>10</v>
      </c>
      <c r="H5" s="257" t="s">
        <v>295</v>
      </c>
      <c r="I5" s="257" t="s">
        <v>10</v>
      </c>
      <c r="J5" s="257" t="s">
        <v>295</v>
      </c>
      <c r="K5" s="257" t="s">
        <v>10</v>
      </c>
      <c r="L5" s="257" t="s">
        <v>295</v>
      </c>
      <c r="M5" s="257" t="s">
        <v>10</v>
      </c>
    </row>
    <row r="6" spans="1:13" x14ac:dyDescent="0.35">
      <c r="A6" s="266" t="s">
        <v>162</v>
      </c>
      <c r="B6" s="73" t="str">
        <f>VLOOKUP(A6,'MASTER AKUN'!A4:B59,2,FALSE)</f>
        <v>Kas Di Tangan</v>
      </c>
      <c r="C6" s="143"/>
      <c r="D6" s="200">
        <f>VLOOKUP(A6,'MASTER AKUN'!A4:D59,4,FALSE)</f>
        <v>2500000</v>
      </c>
      <c r="E6" s="74">
        <f>VLOOKUP(A6,'MASTER AKUN'!A4:E59,5,FALSE)</f>
        <v>0</v>
      </c>
      <c r="F6" s="200">
        <f ca="1">SUMIF('JURNAL UMUM'!A5:G101,'NERACA SALDO'!A6,'JURNAL UMUM'!F5:F101)</f>
        <v>60685750</v>
      </c>
      <c r="G6" s="200">
        <f ca="1">SUMIF('JURNAL UMUM'!A5:G101,'NERACA SALDO'!A6,'JURNAL UMUM'!G5:G101)</f>
        <v>412500</v>
      </c>
      <c r="H6" s="200">
        <f ca="1">IF(D6+F6&gt;E6+G6,((D6+F6)-(E6+G6)),0)</f>
        <v>62773250</v>
      </c>
      <c r="I6" s="200">
        <f t="shared" ref="I6:I54" ca="1" si="0">IF(E6+G6&gt;D6+F6,((E6+G6)-(D6+F6)),0)</f>
        <v>0</v>
      </c>
      <c r="J6" s="200">
        <f>VLOOKUP(A6,'JURNAL PENYESUAIAN'!A5:G18,6,FALSE)</f>
        <v>1200000</v>
      </c>
      <c r="K6" s="200">
        <v>0</v>
      </c>
      <c r="L6" s="200">
        <f ca="1">IF(H6+J6&gt;I6+K6,((H6+J6)-(I6+K6)),0)</f>
        <v>63973250</v>
      </c>
      <c r="M6" s="200">
        <f ca="1">IF(I6+K6&gt;H6+J6,((I6+K6)-(H6+J6)),0)</f>
        <v>0</v>
      </c>
    </row>
    <row r="7" spans="1:13" x14ac:dyDescent="0.35">
      <c r="A7" s="266" t="s">
        <v>163</v>
      </c>
      <c r="B7" s="73" t="str">
        <f>VLOOKUP(A7,'MASTER AKUN'!A5:B60,2,FALSE)</f>
        <v>Kas Kecil</v>
      </c>
      <c r="C7" s="143"/>
      <c r="D7" s="200">
        <f>VLOOKUP(A7,'MASTER AKUN'!A5:D60,4,FALSE)</f>
        <v>750000</v>
      </c>
      <c r="E7" s="74">
        <f>VLOOKUP(A7,'MASTER AKUN'!A5:E60,5,FALSE)</f>
        <v>0</v>
      </c>
      <c r="F7" s="200">
        <f ca="1">SUMIF('JURNAL UMUM'!A6:G102,'NERACA SALDO'!A7,'JURNAL UMUM'!F6:F102)</f>
        <v>0</v>
      </c>
      <c r="G7" s="200">
        <f ca="1">SUMIF('JURNAL UMUM'!A6:G102,'NERACA SALDO'!A7,'JURNAL UMUM'!G6:G102)</f>
        <v>0</v>
      </c>
      <c r="H7" s="200">
        <f t="shared" ref="H7:H54" ca="1" si="1">IF(D7+F7&gt;E7+G7,((D7+F7)-(E7+G7)),0)</f>
        <v>750000</v>
      </c>
      <c r="I7" s="200">
        <f t="shared" ca="1" si="0"/>
        <v>0</v>
      </c>
      <c r="J7" s="200">
        <v>0</v>
      </c>
      <c r="K7" s="200">
        <v>0</v>
      </c>
      <c r="L7" s="200">
        <f t="shared" ref="L7:L54" ca="1" si="2">IF(H7+J7&gt;I7+K7,((H7+J7)-(I7+K7)),0)</f>
        <v>750000</v>
      </c>
      <c r="M7" s="200">
        <f t="shared" ref="M7:M54" ca="1" si="3">IF(I7+K7&gt;H7+J7,((I7+K7)-(H7+J7)),0)</f>
        <v>0</v>
      </c>
    </row>
    <row r="8" spans="1:13" x14ac:dyDescent="0.35">
      <c r="A8" s="266" t="s">
        <v>164</v>
      </c>
      <c r="B8" s="73" t="str">
        <f>VLOOKUP(A8,'MASTER AKUN'!A6:B61,2,FALSE)</f>
        <v>Bank BCA</v>
      </c>
      <c r="C8" s="143"/>
      <c r="D8" s="200">
        <f>VLOOKUP(A8,'MASTER AKUN'!A6:D61,4,FALSE)</f>
        <v>45000000</v>
      </c>
      <c r="E8" s="74">
        <f>VLOOKUP(A8,'MASTER AKUN'!A6:E61,5,FALSE)</f>
        <v>0</v>
      </c>
      <c r="F8" s="200">
        <f ca="1">SUMIF('JURNAL UMUM'!A7:G103,'NERACA SALDO'!A8,'JURNAL UMUM'!F7:F103)</f>
        <v>44700000</v>
      </c>
      <c r="G8" s="200">
        <f ca="1">SUMIF('JURNAL UMUM'!A7:G103,'NERACA SALDO'!A8,'JURNAL UMUM'!G7:G103)</f>
        <v>39025000</v>
      </c>
      <c r="H8" s="200">
        <f t="shared" ca="1" si="1"/>
        <v>50675000</v>
      </c>
      <c r="I8" s="200">
        <f t="shared" ca="1" si="0"/>
        <v>0</v>
      </c>
      <c r="J8" s="200">
        <v>0</v>
      </c>
      <c r="K8" s="200">
        <v>0</v>
      </c>
      <c r="L8" s="200">
        <f t="shared" ca="1" si="2"/>
        <v>50675000</v>
      </c>
      <c r="M8" s="200">
        <f t="shared" ca="1" si="3"/>
        <v>0</v>
      </c>
    </row>
    <row r="9" spans="1:13" x14ac:dyDescent="0.35">
      <c r="A9" s="266" t="s">
        <v>165</v>
      </c>
      <c r="B9" s="73" t="str">
        <f>VLOOKUP(A9,'MASTER AKUN'!A7:B62,2,FALSE)</f>
        <v>Bank Mandiri</v>
      </c>
      <c r="C9" s="143"/>
      <c r="D9" s="200">
        <f>VLOOKUP(A9,'MASTER AKUN'!A7:D62,4,FALSE)</f>
        <v>25000000</v>
      </c>
      <c r="E9" s="74">
        <f>VLOOKUP(A9,'MASTER AKUN'!A7:E62,5,FALSE)</f>
        <v>0</v>
      </c>
      <c r="F9" s="200">
        <f ca="1">SUMIF('JURNAL UMUM'!A8:G104,'NERACA SALDO'!A9,'JURNAL UMUM'!F8:F104)</f>
        <v>73409000</v>
      </c>
      <c r="G9" s="200">
        <f ca="1">SUMIF('JURNAL UMUM'!A8:G104,'NERACA SALDO'!A9,'JURNAL UMUM'!G8:G104)</f>
        <v>44887500</v>
      </c>
      <c r="H9" s="200">
        <f t="shared" ca="1" si="1"/>
        <v>53521500</v>
      </c>
      <c r="I9" s="200">
        <f t="shared" ca="1" si="0"/>
        <v>0</v>
      </c>
      <c r="J9" s="200">
        <v>0</v>
      </c>
      <c r="K9" s="200">
        <v>0</v>
      </c>
      <c r="L9" s="200">
        <f t="shared" ca="1" si="2"/>
        <v>53521500</v>
      </c>
      <c r="M9" s="200">
        <f t="shared" ca="1" si="3"/>
        <v>0</v>
      </c>
    </row>
    <row r="10" spans="1:13" x14ac:dyDescent="0.35">
      <c r="A10" s="266" t="s">
        <v>167</v>
      </c>
      <c r="B10" s="73" t="str">
        <f>VLOOKUP(A10,'MASTER AKUN'!A8:B63,2,FALSE)</f>
        <v>Piutang Usaha</v>
      </c>
      <c r="C10" s="143"/>
      <c r="D10" s="200">
        <f>VLOOKUP(A10,'MASTER AKUN'!A8:D63,4,FALSE)</f>
        <v>47500000</v>
      </c>
      <c r="E10" s="74">
        <f>VLOOKUP(A10,'MASTER AKUN'!A8:E63,5,FALSE)</f>
        <v>0</v>
      </c>
      <c r="F10" s="200">
        <f ca="1">SUMIF('JURNAL UMUM'!A9:G105,'NERACA SALDO'!A10,'JURNAL UMUM'!F9:F105)</f>
        <v>59960000</v>
      </c>
      <c r="G10" s="200">
        <f ca="1">SUMIF('JURNAL UMUM'!A9:G105,'NERACA SALDO'!A10,'JURNAL UMUM'!G9:G105)</f>
        <v>49425000</v>
      </c>
      <c r="H10" s="200">
        <f t="shared" ca="1" si="1"/>
        <v>58035000</v>
      </c>
      <c r="I10" s="200">
        <f t="shared" ca="1" si="0"/>
        <v>0</v>
      </c>
      <c r="J10" s="200">
        <v>0</v>
      </c>
      <c r="K10" s="200">
        <v>0</v>
      </c>
      <c r="L10" s="200">
        <f t="shared" ca="1" si="2"/>
        <v>58035000</v>
      </c>
      <c r="M10" s="200">
        <f t="shared" ca="1" si="3"/>
        <v>0</v>
      </c>
    </row>
    <row r="11" spans="1:13" x14ac:dyDescent="0.35">
      <c r="A11" s="266" t="s">
        <v>168</v>
      </c>
      <c r="B11" s="73" t="str">
        <f>VLOOKUP(A11,'MASTER AKUN'!A9:B64,2,FALSE)</f>
        <v>Cadangan Piutang Tak Tertagih</v>
      </c>
      <c r="C11" s="143"/>
      <c r="D11" s="200">
        <f>VLOOKUP(A11,'MASTER AKUN'!A9:D64,4,FALSE)</f>
        <v>0</v>
      </c>
      <c r="E11" s="74">
        <f>VLOOKUP(A11,'MASTER AKUN'!A9:E64,5,FALSE)</f>
        <v>0</v>
      </c>
      <c r="F11" s="200">
        <f ca="1">SUMIF('JURNAL UMUM'!A10:G106,'NERACA SALDO'!A11,'JURNAL UMUM'!F10:F106)</f>
        <v>0</v>
      </c>
      <c r="G11" s="200">
        <f ca="1">SUMIF('JURNAL UMUM'!A10:G106,'NERACA SALDO'!A11,'JURNAL UMUM'!G10:G106)</f>
        <v>0</v>
      </c>
      <c r="H11" s="200">
        <f t="shared" ca="1" si="1"/>
        <v>0</v>
      </c>
      <c r="I11" s="200">
        <f t="shared" ca="1" si="0"/>
        <v>0</v>
      </c>
      <c r="J11" s="200">
        <v>0</v>
      </c>
      <c r="K11" s="200">
        <f>VLOOKUP(A11,'JURNAL PENYESUAIAN'!A5:G18,7,FALSE)</f>
        <v>2375000</v>
      </c>
      <c r="L11" s="200">
        <f t="shared" ca="1" si="2"/>
        <v>0</v>
      </c>
      <c r="M11" s="200">
        <f t="shared" ca="1" si="3"/>
        <v>2375000</v>
      </c>
    </row>
    <row r="12" spans="1:13" x14ac:dyDescent="0.35">
      <c r="A12" s="266" t="s">
        <v>170</v>
      </c>
      <c r="B12" s="73" t="str">
        <f>VLOOKUP(A12,'MASTER AKUN'!A10:B65,2,FALSE)</f>
        <v>Piutang Karyawan</v>
      </c>
      <c r="C12" s="143"/>
      <c r="D12" s="200">
        <f>VLOOKUP(A12,'MASTER AKUN'!A10:D65,4,FALSE)</f>
        <v>0</v>
      </c>
      <c r="E12" s="74">
        <f>VLOOKUP(A12,'MASTER AKUN'!A10:E65,5,FALSE)</f>
        <v>0</v>
      </c>
      <c r="F12" s="200">
        <f ca="1">SUMIF('JURNAL UMUM'!A11:G107,'NERACA SALDO'!A12,'JURNAL UMUM'!F11:F107)</f>
        <v>2500000</v>
      </c>
      <c r="G12" s="200">
        <f ca="1">SUMIF('JURNAL UMUM'!A11:G107,'NERACA SALDO'!A12,'JURNAL UMUM'!G11:G107)</f>
        <v>500000</v>
      </c>
      <c r="H12" s="200">
        <f t="shared" ca="1" si="1"/>
        <v>2000000</v>
      </c>
      <c r="I12" s="200">
        <f t="shared" ca="1" si="0"/>
        <v>0</v>
      </c>
      <c r="J12" s="200">
        <v>0</v>
      </c>
      <c r="K12" s="200">
        <v>0</v>
      </c>
      <c r="L12" s="200">
        <f t="shared" ca="1" si="2"/>
        <v>2000000</v>
      </c>
      <c r="M12" s="200">
        <f t="shared" ca="1" si="3"/>
        <v>0</v>
      </c>
    </row>
    <row r="13" spans="1:13" x14ac:dyDescent="0.35">
      <c r="A13" s="266" t="s">
        <v>171</v>
      </c>
      <c r="B13" s="73" t="str">
        <f>VLOOKUP(A13,'MASTER AKUN'!A11:B66,2,FALSE)</f>
        <v>Persediaan Barang Dagangan</v>
      </c>
      <c r="C13" s="143"/>
      <c r="D13" s="200">
        <f>VLOOKUP(A13,'MASTER AKUN'!A11:D66,4,FALSE)</f>
        <v>166380000</v>
      </c>
      <c r="E13" s="74">
        <f>VLOOKUP(A13,'MASTER AKUN'!A11:E66,5,FALSE)</f>
        <v>0</v>
      </c>
      <c r="F13" s="200">
        <f ca="1">SUMIF('JURNAL UMUM'!A12:G108,'NERACA SALDO'!A13,'JURNAL UMUM'!F12:F108)</f>
        <v>23475000</v>
      </c>
      <c r="G13" s="200">
        <f ca="1">SUMIF('JURNAL UMUM'!A12:G108,'NERACA SALDO'!A13,'JURNAL UMUM'!G12:G108)</f>
        <v>118390000</v>
      </c>
      <c r="H13" s="200">
        <f t="shared" ca="1" si="1"/>
        <v>71465000</v>
      </c>
      <c r="I13" s="200">
        <f t="shared" ca="1" si="0"/>
        <v>0</v>
      </c>
      <c r="J13" s="200">
        <v>0</v>
      </c>
      <c r="K13" s="200">
        <v>0</v>
      </c>
      <c r="L13" s="200">
        <f t="shared" ca="1" si="2"/>
        <v>71465000</v>
      </c>
      <c r="M13" s="200">
        <f t="shared" ca="1" si="3"/>
        <v>0</v>
      </c>
    </row>
    <row r="14" spans="1:13" x14ac:dyDescent="0.35">
      <c r="A14" s="266" t="s">
        <v>187</v>
      </c>
      <c r="B14" s="73" t="str">
        <f>VLOOKUP(A14,'MASTER AKUN'!A12:B67,2,FALSE)</f>
        <v>Pembayaran Dimuka</v>
      </c>
      <c r="C14" s="143"/>
      <c r="D14" s="200">
        <f>VLOOKUP(A14,'MASTER AKUN'!A12:D67,4,FALSE)</f>
        <v>0</v>
      </c>
      <c r="E14" s="74">
        <f>VLOOKUP(A14,'MASTER AKUN'!A12:E67,5,FALSE)</f>
        <v>0</v>
      </c>
      <c r="F14" s="200">
        <f ca="1">SUMIF('JURNAL UMUM'!A13:G109,'NERACA SALDO'!A14,'JURNAL UMUM'!F13:F109)</f>
        <v>0</v>
      </c>
      <c r="G14" s="200">
        <f ca="1">SUMIF('JURNAL UMUM'!A13:G109,'NERACA SALDO'!A14,'JURNAL UMUM'!G13:G109)</f>
        <v>0</v>
      </c>
      <c r="H14" s="200">
        <f t="shared" ca="1" si="1"/>
        <v>0</v>
      </c>
      <c r="I14" s="200">
        <f t="shared" ca="1" si="0"/>
        <v>0</v>
      </c>
      <c r="J14" s="200">
        <v>0</v>
      </c>
      <c r="K14" s="200">
        <v>0</v>
      </c>
      <c r="L14" s="200">
        <f t="shared" ca="1" si="2"/>
        <v>0</v>
      </c>
      <c r="M14" s="200">
        <f t="shared" ca="1" si="3"/>
        <v>0</v>
      </c>
    </row>
    <row r="15" spans="1:13" x14ac:dyDescent="0.35">
      <c r="A15" s="266" t="s">
        <v>188</v>
      </c>
      <c r="B15" s="73" t="str">
        <f>VLOOKUP(A15,'MASTER AKUN'!A13:B68,2,FALSE)</f>
        <v>PPN Masukan</v>
      </c>
      <c r="C15" s="143"/>
      <c r="D15" s="200">
        <f>VLOOKUP(A15,'MASTER AKUN'!A13:D68,4,FALSE)</f>
        <v>0</v>
      </c>
      <c r="E15" s="74">
        <f>VLOOKUP(A15,'MASTER AKUN'!A13:E68,5,FALSE)</f>
        <v>0</v>
      </c>
      <c r="F15" s="200">
        <f ca="1">SUMIF('JURNAL UMUM'!A14:G110,'NERACA SALDO'!A15,'JURNAL UMUM'!F14:F110)</f>
        <v>2175000</v>
      </c>
      <c r="G15" s="200">
        <f ca="1">SUMIF('JURNAL UMUM'!A14:G110,'NERACA SALDO'!A15,'JURNAL UMUM'!G14:G110)</f>
        <v>32500</v>
      </c>
      <c r="H15" s="200">
        <f t="shared" ca="1" si="1"/>
        <v>2142500</v>
      </c>
      <c r="I15" s="200">
        <f t="shared" ca="1" si="0"/>
        <v>0</v>
      </c>
      <c r="J15" s="200">
        <v>0</v>
      </c>
      <c r="K15" s="200">
        <v>0</v>
      </c>
      <c r="L15" s="200">
        <f t="shared" ca="1" si="2"/>
        <v>2142500</v>
      </c>
      <c r="M15" s="200">
        <f t="shared" ca="1" si="3"/>
        <v>0</v>
      </c>
    </row>
    <row r="16" spans="1:13" x14ac:dyDescent="0.35">
      <c r="A16" s="266" t="s">
        <v>189</v>
      </c>
      <c r="B16" s="73" t="str">
        <f>VLOOKUP(A16,'MASTER AKUN'!A14:B69,2,FALSE)</f>
        <v>Uang Muka Pembelian</v>
      </c>
      <c r="C16" s="143"/>
      <c r="D16" s="200">
        <f>VLOOKUP(A16,'MASTER AKUN'!A14:D69,4,FALSE)</f>
        <v>0</v>
      </c>
      <c r="E16" s="74">
        <f>VLOOKUP(A16,'MASTER AKUN'!A14:E69,5,FALSE)</f>
        <v>0</v>
      </c>
      <c r="F16" s="200">
        <f ca="1">SUMIF('JURNAL UMUM'!A15:G111,'NERACA SALDO'!A16,'JURNAL UMUM'!F15:F111)</f>
        <v>0</v>
      </c>
      <c r="G16" s="200">
        <f ca="1">SUMIF('JURNAL UMUM'!A15:G111,'NERACA SALDO'!A16,'JURNAL UMUM'!G15:G111)</f>
        <v>6000000</v>
      </c>
      <c r="H16" s="200">
        <f t="shared" ca="1" si="1"/>
        <v>0</v>
      </c>
      <c r="I16" s="200">
        <f t="shared" ca="1" si="0"/>
        <v>6000000</v>
      </c>
      <c r="J16" s="200">
        <v>0</v>
      </c>
      <c r="K16" s="200">
        <v>0</v>
      </c>
      <c r="L16" s="200">
        <f t="shared" ca="1" si="2"/>
        <v>0</v>
      </c>
      <c r="M16" s="200">
        <f t="shared" ca="1" si="3"/>
        <v>6000000</v>
      </c>
    </row>
    <row r="17" spans="1:13" x14ac:dyDescent="0.35">
      <c r="A17" s="244" t="s">
        <v>192</v>
      </c>
      <c r="B17" s="73" t="str">
        <f>VLOOKUP(A17,'MASTER AKUN'!A15:B70,2,FALSE)</f>
        <v>Nilai Buku Peralatan Kantor</v>
      </c>
      <c r="C17" s="143"/>
      <c r="D17" s="200">
        <f>VLOOKUP(A17,'MASTER AKUN'!A15:D70,4,FALSE)</f>
        <v>0</v>
      </c>
      <c r="E17" s="74">
        <f>VLOOKUP(A17,'MASTER AKUN'!A15:E70,5,FALSE)</f>
        <v>0</v>
      </c>
      <c r="F17" s="200">
        <f ca="1">SUMIF('JURNAL UMUM'!A16:G112,'NERACA SALDO'!A17,'JURNAL UMUM'!F16:F112)</f>
        <v>0</v>
      </c>
      <c r="G17" s="200">
        <f ca="1">SUMIF('JURNAL UMUM'!A16:G112,'NERACA SALDO'!A17,'JURNAL UMUM'!G16:G112)</f>
        <v>0</v>
      </c>
      <c r="H17" s="200">
        <f t="shared" ca="1" si="1"/>
        <v>0</v>
      </c>
      <c r="I17" s="200">
        <f t="shared" ca="1" si="0"/>
        <v>0</v>
      </c>
      <c r="J17" s="200">
        <v>0</v>
      </c>
      <c r="K17" s="200">
        <v>0</v>
      </c>
      <c r="L17" s="200">
        <f t="shared" ca="1" si="2"/>
        <v>0</v>
      </c>
      <c r="M17" s="200">
        <f t="shared" ca="1" si="3"/>
        <v>0</v>
      </c>
    </row>
    <row r="18" spans="1:13" x14ac:dyDescent="0.35">
      <c r="A18" s="244" t="s">
        <v>193</v>
      </c>
      <c r="B18" s="73" t="str">
        <f>VLOOKUP(A18,'MASTER AKUN'!A16:B71,2,FALSE)</f>
        <v>Peralatan Kantor</v>
      </c>
      <c r="C18" s="143"/>
      <c r="D18" s="200">
        <f>VLOOKUP(A18,'MASTER AKUN'!A16:D71,4,FALSE)</f>
        <v>25000000</v>
      </c>
      <c r="E18" s="74">
        <f>VLOOKUP(A18,'MASTER AKUN'!A16:E71,5,FALSE)</f>
        <v>0</v>
      </c>
      <c r="F18" s="200">
        <f ca="1">SUMIF('JURNAL UMUM'!A17:G113,'NERACA SALDO'!A18,'JURNAL UMUM'!F17:F113)</f>
        <v>0</v>
      </c>
      <c r="G18" s="200">
        <f ca="1">SUMIF('JURNAL UMUM'!A17:G113,'NERACA SALDO'!A18,'JURNAL UMUM'!G17:G113)</f>
        <v>0</v>
      </c>
      <c r="H18" s="200">
        <f t="shared" ca="1" si="1"/>
        <v>25000000</v>
      </c>
      <c r="I18" s="200">
        <f t="shared" ca="1" si="0"/>
        <v>0</v>
      </c>
      <c r="J18" s="200">
        <v>0</v>
      </c>
      <c r="K18" s="200">
        <v>0</v>
      </c>
      <c r="L18" s="200">
        <f t="shared" ca="1" si="2"/>
        <v>25000000</v>
      </c>
      <c r="M18" s="200">
        <f t="shared" ca="1" si="3"/>
        <v>0</v>
      </c>
    </row>
    <row r="19" spans="1:13" x14ac:dyDescent="0.35">
      <c r="A19" s="244" t="s">
        <v>194</v>
      </c>
      <c r="B19" s="73" t="str">
        <f>VLOOKUP(A19,'MASTER AKUN'!A17:B72,2,FALSE)</f>
        <v>Akumulasi Penyusutan Peralatan Kantor</v>
      </c>
      <c r="C19" s="143"/>
      <c r="D19" s="200">
        <f>VLOOKUP(A19,'MASTER AKUN'!A17:D72,4,FALSE)</f>
        <v>0</v>
      </c>
      <c r="E19" s="74">
        <f>VLOOKUP(A19,'MASTER AKUN'!A17:E72,5,FALSE)</f>
        <v>7500000</v>
      </c>
      <c r="F19" s="200">
        <f ca="1">SUMIF('JURNAL UMUM'!A18:G114,'NERACA SALDO'!A19,'JURNAL UMUM'!F18:F114)</f>
        <v>0</v>
      </c>
      <c r="G19" s="200">
        <f ca="1">SUMIF('JURNAL UMUM'!A18:G114,'NERACA SALDO'!A19,'JURNAL UMUM'!G18:G114)</f>
        <v>0</v>
      </c>
      <c r="H19" s="200">
        <f t="shared" ca="1" si="1"/>
        <v>0</v>
      </c>
      <c r="I19" s="200">
        <f t="shared" ca="1" si="0"/>
        <v>7500000</v>
      </c>
      <c r="J19" s="200">
        <v>0</v>
      </c>
      <c r="K19" s="200">
        <f>VLOOKUP(A19,'JURNAL PENYESUAIAN'!A5:G18,7,FALSE)</f>
        <v>400000</v>
      </c>
      <c r="L19" s="200">
        <f t="shared" ca="1" si="2"/>
        <v>0</v>
      </c>
      <c r="M19" s="200">
        <f t="shared" ca="1" si="3"/>
        <v>7900000</v>
      </c>
    </row>
    <row r="20" spans="1:13" x14ac:dyDescent="0.35">
      <c r="A20" s="244" t="s">
        <v>195</v>
      </c>
      <c r="B20" s="73" t="str">
        <f>VLOOKUP(A20,'MASTER AKUN'!A18:B73,2,FALSE)</f>
        <v>Nilai Buku Kendaraan</v>
      </c>
      <c r="C20" s="143"/>
      <c r="D20" s="200">
        <f>VLOOKUP(A20,'MASTER AKUN'!A18:D73,4,FALSE)</f>
        <v>0</v>
      </c>
      <c r="E20" s="74">
        <f>VLOOKUP(A20,'MASTER AKUN'!A18:E73,5,FALSE)</f>
        <v>0</v>
      </c>
      <c r="F20" s="200">
        <f ca="1">SUMIF('JURNAL UMUM'!A19:G115,'NERACA SALDO'!A20,'JURNAL UMUM'!F19:F115)</f>
        <v>0</v>
      </c>
      <c r="G20" s="200">
        <f ca="1">SUMIF('JURNAL UMUM'!A19:G115,'NERACA SALDO'!A20,'JURNAL UMUM'!G19:G115)</f>
        <v>0</v>
      </c>
      <c r="H20" s="200">
        <f t="shared" ca="1" si="1"/>
        <v>0</v>
      </c>
      <c r="I20" s="200">
        <f t="shared" ca="1" si="0"/>
        <v>0</v>
      </c>
      <c r="J20" s="200">
        <v>0</v>
      </c>
      <c r="K20" s="200">
        <v>0</v>
      </c>
      <c r="L20" s="200">
        <f t="shared" ca="1" si="2"/>
        <v>0</v>
      </c>
      <c r="M20" s="200">
        <f t="shared" ca="1" si="3"/>
        <v>0</v>
      </c>
    </row>
    <row r="21" spans="1:13" x14ac:dyDescent="0.35">
      <c r="A21" s="244" t="s">
        <v>196</v>
      </c>
      <c r="B21" s="73" t="str">
        <f>VLOOKUP(A21,'MASTER AKUN'!A19:B74,2,FALSE)</f>
        <v>Kendaraan</v>
      </c>
      <c r="C21" s="143"/>
      <c r="D21" s="200">
        <f>VLOOKUP(A21,'MASTER AKUN'!A19:D74,4,FALSE)</f>
        <v>45000000</v>
      </c>
      <c r="E21" s="74">
        <f>VLOOKUP(A21,'MASTER AKUN'!A19:E74,5,FALSE)</f>
        <v>0</v>
      </c>
      <c r="F21" s="200">
        <f ca="1">SUMIF('JURNAL UMUM'!A20:G116,'NERACA SALDO'!A21,'JURNAL UMUM'!F20:F116)</f>
        <v>11500000</v>
      </c>
      <c r="G21" s="200">
        <f ca="1">SUMIF('JURNAL UMUM'!A20:G116,'NERACA SALDO'!A21,'JURNAL UMUM'!G20:G116)</f>
        <v>6000000</v>
      </c>
      <c r="H21" s="200">
        <f t="shared" ca="1" si="1"/>
        <v>50500000</v>
      </c>
      <c r="I21" s="200">
        <f t="shared" ca="1" si="0"/>
        <v>0</v>
      </c>
      <c r="J21" s="200">
        <v>0</v>
      </c>
      <c r="K21" s="200">
        <v>0</v>
      </c>
      <c r="L21" s="200">
        <f t="shared" ca="1" si="2"/>
        <v>50500000</v>
      </c>
      <c r="M21" s="200">
        <f t="shared" ca="1" si="3"/>
        <v>0</v>
      </c>
    </row>
    <row r="22" spans="1:13" x14ac:dyDescent="0.35">
      <c r="A22" s="244" t="s">
        <v>197</v>
      </c>
      <c r="B22" s="73" t="str">
        <f>VLOOKUP(A22,'MASTER AKUN'!A20:B75,2,FALSE)</f>
        <v>Akumulasi Penyusutan Kendaraan</v>
      </c>
      <c r="C22" s="143"/>
      <c r="D22" s="200">
        <f>VLOOKUP(A22,'MASTER AKUN'!A20:D75,4,FALSE)</f>
        <v>0</v>
      </c>
      <c r="E22" s="74">
        <f>VLOOKUP(A22,'MASTER AKUN'!A20:E75,5,FALSE)</f>
        <v>25000000</v>
      </c>
      <c r="F22" s="200">
        <f ca="1">SUMIF('JURNAL UMUM'!A21:G117,'NERACA SALDO'!A22,'JURNAL UMUM'!F21:F117)</f>
        <v>1500000</v>
      </c>
      <c r="G22" s="200">
        <f ca="1">SUMIF('JURNAL UMUM'!A21:G117,'NERACA SALDO'!A22,'JURNAL UMUM'!G21:G117)</f>
        <v>0</v>
      </c>
      <c r="H22" s="200">
        <f t="shared" ca="1" si="1"/>
        <v>0</v>
      </c>
      <c r="I22" s="200">
        <f t="shared" ca="1" si="0"/>
        <v>23500000</v>
      </c>
      <c r="J22" s="200">
        <v>0</v>
      </c>
      <c r="K22" s="200">
        <f>VLOOKUP(A22,'JURNAL PENYESUAIAN'!A8:G21,7,FALSE)</f>
        <v>500000</v>
      </c>
      <c r="L22" s="200">
        <f t="shared" ca="1" si="2"/>
        <v>0</v>
      </c>
      <c r="M22" s="200">
        <f t="shared" ca="1" si="3"/>
        <v>24000000</v>
      </c>
    </row>
    <row r="23" spans="1:13" x14ac:dyDescent="0.35">
      <c r="A23" s="266" t="s">
        <v>199</v>
      </c>
      <c r="B23" s="73" t="str">
        <f>VLOOKUP(A23,'MASTER AKUN'!A21:B76,2,FALSE)</f>
        <v>Hutang Usaha</v>
      </c>
      <c r="C23" s="143"/>
      <c r="D23" s="200">
        <f>VLOOKUP(A23,'MASTER AKUN'!A21:D76,4,FALSE)</f>
        <v>0</v>
      </c>
      <c r="E23" s="74">
        <f>VLOOKUP(A23,'MASTER AKUN'!A21:E76,5,FALSE)</f>
        <v>75000000</v>
      </c>
      <c r="F23" s="200">
        <f ca="1">SUMIF('JURNAL UMUM'!A22:G118,'NERACA SALDO'!A23,'JURNAL UMUM'!F22:F118)</f>
        <v>22357500</v>
      </c>
      <c r="G23" s="200">
        <f ca="1">SUMIF('JURNAL UMUM'!A22:G118,'NERACA SALDO'!A23,'JURNAL UMUM'!G22:G118)</f>
        <v>17925000</v>
      </c>
      <c r="H23" s="200">
        <f t="shared" ca="1" si="1"/>
        <v>0</v>
      </c>
      <c r="I23" s="200">
        <f t="shared" ca="1" si="0"/>
        <v>70567500</v>
      </c>
      <c r="J23" s="200">
        <v>0</v>
      </c>
      <c r="K23" s="200">
        <v>0</v>
      </c>
      <c r="L23" s="200">
        <f t="shared" ca="1" si="2"/>
        <v>0</v>
      </c>
      <c r="M23" s="200">
        <f t="shared" ca="1" si="3"/>
        <v>70567500</v>
      </c>
    </row>
    <row r="24" spans="1:13" x14ac:dyDescent="0.35">
      <c r="A24" s="266" t="s">
        <v>200</v>
      </c>
      <c r="B24" s="73" t="str">
        <f>VLOOKUP(A24,'MASTER AKUN'!A22:B77,2,FALSE)</f>
        <v>Pendapatan Diterima Dimuka-Jasa Kirim</v>
      </c>
      <c r="C24" s="143"/>
      <c r="D24" s="200">
        <f>VLOOKUP(A24,'MASTER AKUN'!A22:D77,4,FALSE)</f>
        <v>0</v>
      </c>
      <c r="E24" s="74">
        <f>VLOOKUP(A24,'MASTER AKUN'!A22:E77,5,FALSE)</f>
        <v>0</v>
      </c>
      <c r="F24" s="200">
        <f ca="1">SUMIF('JURNAL UMUM'!A23:G119,'NERACA SALDO'!A24,'JURNAL UMUM'!F23:F119)</f>
        <v>0</v>
      </c>
      <c r="G24" s="200">
        <f ca="1">SUMIF('JURNAL UMUM'!A23:G119,'NERACA SALDO'!A24,'JURNAL UMUM'!G23:G119)</f>
        <v>200000</v>
      </c>
      <c r="H24" s="200">
        <f t="shared" ca="1" si="1"/>
        <v>0</v>
      </c>
      <c r="I24" s="200">
        <f t="shared" ca="1" si="0"/>
        <v>200000</v>
      </c>
      <c r="J24" s="200">
        <v>0</v>
      </c>
      <c r="K24" s="200">
        <v>0</v>
      </c>
      <c r="L24" s="200">
        <f t="shared" ca="1" si="2"/>
        <v>0</v>
      </c>
      <c r="M24" s="200">
        <f t="shared" ca="1" si="3"/>
        <v>200000</v>
      </c>
    </row>
    <row r="25" spans="1:13" x14ac:dyDescent="0.35">
      <c r="A25" s="266" t="s">
        <v>201</v>
      </c>
      <c r="B25" s="73" t="str">
        <f>VLOOKUP(A25,'MASTER AKUN'!A23:B78,2,FALSE)</f>
        <v xml:space="preserve">Hutang Bunga </v>
      </c>
      <c r="C25" s="143"/>
      <c r="D25" s="200">
        <f>VLOOKUP(A25,'MASTER AKUN'!A23:D78,4,FALSE)</f>
        <v>0</v>
      </c>
      <c r="E25" s="74">
        <f>VLOOKUP(A25,'MASTER AKUN'!A23:E78,5,FALSE)</f>
        <v>0</v>
      </c>
      <c r="F25" s="200">
        <f ca="1">SUMIF('JURNAL UMUM'!A24:G120,'NERACA SALDO'!A25,'JURNAL UMUM'!F24:F120)</f>
        <v>0</v>
      </c>
      <c r="G25" s="200">
        <f ca="1">SUMIF('JURNAL UMUM'!A24:G120,'NERACA SALDO'!A25,'JURNAL UMUM'!G24:G120)</f>
        <v>0</v>
      </c>
      <c r="H25" s="200">
        <f t="shared" ca="1" si="1"/>
        <v>0</v>
      </c>
      <c r="I25" s="200">
        <f t="shared" ca="1" si="0"/>
        <v>0</v>
      </c>
      <c r="J25" s="200">
        <v>0</v>
      </c>
      <c r="K25" s="200">
        <f>VLOOKUP(A25,'JURNAL PENYESUAIAN'!A11:G24,7,FALSE)</f>
        <v>1500000</v>
      </c>
      <c r="L25" s="200">
        <f t="shared" ca="1" si="2"/>
        <v>0</v>
      </c>
      <c r="M25" s="200">
        <f t="shared" ca="1" si="3"/>
        <v>1500000</v>
      </c>
    </row>
    <row r="26" spans="1:13" x14ac:dyDescent="0.35">
      <c r="A26" s="266" t="s">
        <v>202</v>
      </c>
      <c r="B26" s="73" t="str">
        <f>VLOOKUP(A26,'MASTER AKUN'!A24:B79,2,FALSE)</f>
        <v>Hutang Pajak</v>
      </c>
      <c r="C26" s="143"/>
      <c r="D26" s="200">
        <f>VLOOKUP(A26,'MASTER AKUN'!A24:D79,4,FALSE)</f>
        <v>0</v>
      </c>
      <c r="E26" s="74">
        <f>VLOOKUP(A26,'MASTER AKUN'!A24:E79,5,FALSE)</f>
        <v>0</v>
      </c>
      <c r="F26" s="200">
        <f ca="1">SUMIF('JURNAL UMUM'!A25:G121,'NERACA SALDO'!A26,'JURNAL UMUM'!F25:F121)</f>
        <v>0</v>
      </c>
      <c r="G26" s="200">
        <f ca="1">SUMIF('JURNAL UMUM'!A25:G121,'NERACA SALDO'!A26,'JURNAL UMUM'!G25:G121)</f>
        <v>0</v>
      </c>
      <c r="H26" s="200">
        <f t="shared" ca="1" si="1"/>
        <v>0</v>
      </c>
      <c r="I26" s="200">
        <f t="shared" ca="1" si="0"/>
        <v>0</v>
      </c>
      <c r="J26" s="200">
        <v>0</v>
      </c>
      <c r="K26" s="200">
        <v>0</v>
      </c>
      <c r="L26" s="200">
        <f t="shared" ca="1" si="2"/>
        <v>0</v>
      </c>
      <c r="M26" s="200">
        <f t="shared" ca="1" si="3"/>
        <v>0</v>
      </c>
    </row>
    <row r="27" spans="1:13" x14ac:dyDescent="0.35">
      <c r="A27" s="266" t="s">
        <v>203</v>
      </c>
      <c r="B27" s="73" t="str">
        <f>VLOOKUP(A27,'MASTER AKUN'!A25:B80,2,FALSE)</f>
        <v>Utang PPh pasal 21</v>
      </c>
      <c r="C27" s="143"/>
      <c r="D27" s="200">
        <f>VLOOKUP(A27,'MASTER AKUN'!A25:D80,4,FALSE)</f>
        <v>0</v>
      </c>
      <c r="E27" s="74">
        <f>VLOOKUP(A27,'MASTER AKUN'!A25:E80,5,FALSE)</f>
        <v>0</v>
      </c>
      <c r="F27" s="200">
        <f ca="1">SUMIF('JURNAL UMUM'!A26:G122,'NERACA SALDO'!A27,'JURNAL UMUM'!F26:F122)</f>
        <v>0</v>
      </c>
      <c r="G27" s="200">
        <f ca="1">SUMIF('JURNAL UMUM'!A26:G122,'NERACA SALDO'!A27,'JURNAL UMUM'!G26:G122)</f>
        <v>725000</v>
      </c>
      <c r="H27" s="200">
        <f t="shared" ca="1" si="1"/>
        <v>0</v>
      </c>
      <c r="I27" s="200">
        <f t="shared" ca="1" si="0"/>
        <v>725000</v>
      </c>
      <c r="J27" s="200">
        <v>0</v>
      </c>
      <c r="K27" s="200">
        <v>0</v>
      </c>
      <c r="L27" s="200">
        <f t="shared" ca="1" si="2"/>
        <v>0</v>
      </c>
      <c r="M27" s="200">
        <f t="shared" ca="1" si="3"/>
        <v>725000</v>
      </c>
    </row>
    <row r="28" spans="1:13" x14ac:dyDescent="0.35">
      <c r="A28" s="266" t="s">
        <v>204</v>
      </c>
      <c r="B28" s="73" t="str">
        <f>VLOOKUP(A28,'MASTER AKUN'!A26:B81,2,FALSE)</f>
        <v>Utang PPh Pasal 4</v>
      </c>
      <c r="C28" s="143"/>
      <c r="D28" s="200">
        <f>VLOOKUP(A28,'MASTER AKUN'!A26:D81,4,FALSE)</f>
        <v>0</v>
      </c>
      <c r="E28" s="74">
        <f>VLOOKUP(A28,'MASTER AKUN'!A26:E81,5,FALSE)</f>
        <v>0</v>
      </c>
      <c r="F28" s="200">
        <f ca="1">SUMIF('JURNAL UMUM'!A27:G123,'NERACA SALDO'!A28,'JURNAL UMUM'!F27:F123)</f>
        <v>0</v>
      </c>
      <c r="G28" s="200">
        <f ca="1">SUMIF('JURNAL UMUM'!A27:G123,'NERACA SALDO'!A28,'JURNAL UMUM'!G27:G123)</f>
        <v>250000</v>
      </c>
      <c r="H28" s="200">
        <f t="shared" ca="1" si="1"/>
        <v>0</v>
      </c>
      <c r="I28" s="200">
        <f t="shared" ca="1" si="0"/>
        <v>250000</v>
      </c>
      <c r="J28" s="200">
        <v>0</v>
      </c>
      <c r="K28" s="200">
        <v>0</v>
      </c>
      <c r="L28" s="200">
        <f t="shared" ca="1" si="2"/>
        <v>0</v>
      </c>
      <c r="M28" s="200">
        <f t="shared" ca="1" si="3"/>
        <v>250000</v>
      </c>
    </row>
    <row r="29" spans="1:13" x14ac:dyDescent="0.35">
      <c r="A29" s="266" t="s">
        <v>205</v>
      </c>
      <c r="B29" s="73" t="str">
        <f>VLOOKUP(A29,'MASTER AKUN'!A27:B82,2,FALSE)</f>
        <v>PPN Keluaran</v>
      </c>
      <c r="C29" s="143"/>
      <c r="D29" s="200">
        <f>VLOOKUP(A29,'MASTER AKUN'!A27:D82,4,FALSE)</f>
        <v>0</v>
      </c>
      <c r="E29" s="74">
        <f>VLOOKUP(A29,'MASTER AKUN'!A27:E82,5,FALSE)</f>
        <v>0</v>
      </c>
      <c r="F29" s="200">
        <f ca="1">SUMIF('JURNAL UMUM'!A28:G124,'NERACA SALDO'!A29,'JURNAL UMUM'!F28:F124)</f>
        <v>212500</v>
      </c>
      <c r="G29" s="200">
        <f ca="1">SUMIF('JURNAL UMUM'!A28:G124,'NERACA SALDO'!A29,'JURNAL UMUM'!G28:G124)</f>
        <v>11913500</v>
      </c>
      <c r="H29" s="200">
        <f t="shared" ca="1" si="1"/>
        <v>0</v>
      </c>
      <c r="I29" s="200">
        <f t="shared" ca="1" si="0"/>
        <v>11701000</v>
      </c>
      <c r="J29" s="200">
        <v>0</v>
      </c>
      <c r="K29" s="200">
        <v>0</v>
      </c>
      <c r="L29" s="200">
        <f t="shared" ca="1" si="2"/>
        <v>0</v>
      </c>
      <c r="M29" s="200">
        <f t="shared" ca="1" si="3"/>
        <v>11701000</v>
      </c>
    </row>
    <row r="30" spans="1:13" x14ac:dyDescent="0.35">
      <c r="A30" s="244" t="s">
        <v>207</v>
      </c>
      <c r="B30" s="73" t="str">
        <f>VLOOKUP(A30,'MASTER AKUN'!A28:B83,2,FALSE)</f>
        <v>Hutang Bank Mandiri</v>
      </c>
      <c r="C30" s="143"/>
      <c r="D30" s="200">
        <f>VLOOKUP(A30,'MASTER AKUN'!A28:D83,4,FALSE)</f>
        <v>0</v>
      </c>
      <c r="E30" s="74">
        <f>VLOOKUP(A30,'MASTER AKUN'!A28:E83,5,FALSE)</f>
        <v>75000000</v>
      </c>
      <c r="F30" s="200">
        <f ca="1">SUMIF('JURNAL UMUM'!A29:G125,'NERACA SALDO'!A30,'JURNAL UMUM'!F29:F125)</f>
        <v>0</v>
      </c>
      <c r="G30" s="200">
        <f ca="1">SUMIF('JURNAL UMUM'!A29:G125,'NERACA SALDO'!A30,'JURNAL UMUM'!G29:G125)</f>
        <v>0</v>
      </c>
      <c r="H30" s="200">
        <f t="shared" ca="1" si="1"/>
        <v>0</v>
      </c>
      <c r="I30" s="200">
        <f t="shared" ca="1" si="0"/>
        <v>75000000</v>
      </c>
      <c r="J30" s="200">
        <v>0</v>
      </c>
      <c r="K30" s="200">
        <v>0</v>
      </c>
      <c r="L30" s="200">
        <f t="shared" ca="1" si="2"/>
        <v>0</v>
      </c>
      <c r="M30" s="200">
        <f t="shared" ca="1" si="3"/>
        <v>75000000</v>
      </c>
    </row>
    <row r="31" spans="1:13" x14ac:dyDescent="0.35">
      <c r="A31" s="266" t="s">
        <v>190</v>
      </c>
      <c r="B31" s="73" t="str">
        <f>VLOOKUP(A31,'MASTER AKUN'!A29:B84,2,FALSE)</f>
        <v xml:space="preserve">Modal Saham </v>
      </c>
      <c r="C31" s="143"/>
      <c r="D31" s="200">
        <f>VLOOKUP(A31,'MASTER AKUN'!A29:D84,4,FALSE)</f>
        <v>0</v>
      </c>
      <c r="E31" s="74">
        <f>VLOOKUP(A31,'MASTER AKUN'!A29:E84,5,FALSE)</f>
        <v>150000000</v>
      </c>
      <c r="F31" s="200">
        <f ca="1">SUMIF('JURNAL UMUM'!A30:G126,'NERACA SALDO'!A31,'JURNAL UMUM'!F30:F126)</f>
        <v>0</v>
      </c>
      <c r="G31" s="200">
        <f ca="1">SUMIF('JURNAL UMUM'!A30:G126,'NERACA SALDO'!A31,'JURNAL UMUM'!G30:G126)</f>
        <v>0</v>
      </c>
      <c r="H31" s="200">
        <f t="shared" ca="1" si="1"/>
        <v>0</v>
      </c>
      <c r="I31" s="200">
        <f t="shared" ca="1" si="0"/>
        <v>150000000</v>
      </c>
      <c r="J31" s="200">
        <v>0</v>
      </c>
      <c r="K31" s="200">
        <v>0</v>
      </c>
      <c r="L31" s="200">
        <f t="shared" ca="1" si="2"/>
        <v>0</v>
      </c>
      <c r="M31" s="200">
        <f t="shared" ca="1" si="3"/>
        <v>150000000</v>
      </c>
    </row>
    <row r="32" spans="1:13" x14ac:dyDescent="0.35">
      <c r="A32" s="262" t="s">
        <v>208</v>
      </c>
      <c r="B32" s="73" t="str">
        <f>VLOOKUP(A32,'MASTER AKUN'!A30:B85,2,FALSE)</f>
        <v>Laba Ditahan Periode Lalu</v>
      </c>
      <c r="C32" s="143"/>
      <c r="D32" s="200">
        <f>VLOOKUP(A32,'MASTER AKUN'!A30:D85,4,FALSE)</f>
        <v>0</v>
      </c>
      <c r="E32" s="74">
        <f>VLOOKUP(A32,'MASTER AKUN'!A30:E85,5,FALSE)</f>
        <v>24630000</v>
      </c>
      <c r="F32" s="200">
        <f ca="1">SUMIF('JURNAL UMUM'!A31:G127,'NERACA SALDO'!A32,'JURNAL UMUM'!F31:F127)</f>
        <v>0</v>
      </c>
      <c r="G32" s="200">
        <f ca="1">SUMIF('JURNAL UMUM'!A31:G127,'NERACA SALDO'!A32,'JURNAL UMUM'!G31:G127)</f>
        <v>0</v>
      </c>
      <c r="H32" s="200">
        <f t="shared" ca="1" si="1"/>
        <v>0</v>
      </c>
      <c r="I32" s="200">
        <f t="shared" ca="1" si="0"/>
        <v>24630000</v>
      </c>
      <c r="J32" s="200">
        <v>0</v>
      </c>
      <c r="K32" s="200">
        <v>0</v>
      </c>
      <c r="L32" s="200">
        <f t="shared" ca="1" si="2"/>
        <v>0</v>
      </c>
      <c r="M32" s="200">
        <f t="shared" ca="1" si="3"/>
        <v>24630000</v>
      </c>
    </row>
    <row r="33" spans="1:13" x14ac:dyDescent="0.35">
      <c r="A33" s="262" t="s">
        <v>209</v>
      </c>
      <c r="B33" s="73" t="str">
        <f>VLOOKUP(A33,'MASTER AKUN'!A31:B86,2,FALSE)</f>
        <v>Laba Ditahan Periode Berjalan</v>
      </c>
      <c r="C33" s="143"/>
      <c r="D33" s="200">
        <f>VLOOKUP(A33,'MASTER AKUN'!A31:D86,4,FALSE)</f>
        <v>0</v>
      </c>
      <c r="E33" s="74">
        <f>VLOOKUP(A33,'MASTER AKUN'!A31:E86,5,FALSE)</f>
        <v>0</v>
      </c>
      <c r="F33" s="200">
        <f ca="1">SUMIF('JURNAL UMUM'!A32:G128,'NERACA SALDO'!A33,'JURNAL UMUM'!F32:F128)</f>
        <v>0</v>
      </c>
      <c r="G33" s="200">
        <f ca="1">SUMIF('JURNAL UMUM'!A32:G128,'NERACA SALDO'!A33,'JURNAL UMUM'!G32:G128)</f>
        <v>0</v>
      </c>
      <c r="H33" s="200">
        <f t="shared" ca="1" si="1"/>
        <v>0</v>
      </c>
      <c r="I33" s="200">
        <f t="shared" ca="1" si="0"/>
        <v>0</v>
      </c>
      <c r="J33" s="200">
        <v>0</v>
      </c>
      <c r="K33" s="200">
        <v>0</v>
      </c>
      <c r="L33" s="200">
        <f t="shared" ca="1" si="2"/>
        <v>0</v>
      </c>
      <c r="M33" s="200">
        <f t="shared" ca="1" si="3"/>
        <v>0</v>
      </c>
    </row>
    <row r="34" spans="1:13" x14ac:dyDescent="0.35">
      <c r="A34" s="262" t="s">
        <v>210</v>
      </c>
      <c r="B34" s="73" t="str">
        <f>VLOOKUP(A34,'MASTER AKUN'!A32:B87,2,FALSE)</f>
        <v>Perkiraan Penyeimbang</v>
      </c>
      <c r="C34" s="143"/>
      <c r="D34" s="200">
        <f>VLOOKUP(A34,'MASTER AKUN'!A32:D87,4,FALSE)</f>
        <v>0</v>
      </c>
      <c r="E34" s="74">
        <f>VLOOKUP(A34,'MASTER AKUN'!A32:E87,5,FALSE)</f>
        <v>0</v>
      </c>
      <c r="F34" s="200">
        <f ca="1">SUMIF('JURNAL UMUM'!A33:G129,'NERACA SALDO'!A34,'JURNAL UMUM'!F33:F129)</f>
        <v>0</v>
      </c>
      <c r="G34" s="200">
        <f ca="1">SUMIF('JURNAL UMUM'!A33:G129,'NERACA SALDO'!A34,'JURNAL UMUM'!G33:G129)</f>
        <v>0</v>
      </c>
      <c r="H34" s="200">
        <f t="shared" ca="1" si="1"/>
        <v>0</v>
      </c>
      <c r="I34" s="200">
        <f t="shared" ca="1" si="0"/>
        <v>0</v>
      </c>
      <c r="J34" s="200">
        <v>0</v>
      </c>
      <c r="K34" s="200">
        <v>0</v>
      </c>
      <c r="L34" s="200">
        <f t="shared" ca="1" si="2"/>
        <v>0</v>
      </c>
      <c r="M34" s="200">
        <f t="shared" ca="1" si="3"/>
        <v>0</v>
      </c>
    </row>
    <row r="35" spans="1:13" x14ac:dyDescent="0.35">
      <c r="A35" s="266" t="s">
        <v>1</v>
      </c>
      <c r="B35" s="73" t="str">
        <f>VLOOKUP(A35,'MASTER AKUN'!A33:B88,2,FALSE)</f>
        <v xml:space="preserve">Penjualan </v>
      </c>
      <c r="C35" s="143"/>
      <c r="D35" s="200">
        <f>VLOOKUP(A35,'MASTER AKUN'!A33:D88,4,FALSE)</f>
        <v>0</v>
      </c>
      <c r="E35" s="74">
        <f>VLOOKUP(A35,'MASTER AKUN'!A33:E88,5,FALSE)</f>
        <v>0</v>
      </c>
      <c r="F35" s="200">
        <f ca="1">SUMIF('JURNAL UMUM'!A34:G130,'NERACA SALDO'!A35,'JURNAL UMUM'!F34:F130)</f>
        <v>0</v>
      </c>
      <c r="G35" s="200">
        <f ca="1">SUMIF('JURNAL UMUM'!A34:G130,'NERACA SALDO'!A35,'JURNAL UMUM'!G34:G130)</f>
        <v>119135000</v>
      </c>
      <c r="H35" s="200">
        <f t="shared" ca="1" si="1"/>
        <v>0</v>
      </c>
      <c r="I35" s="200">
        <f t="shared" ca="1" si="0"/>
        <v>119135000</v>
      </c>
      <c r="J35" s="200">
        <v>0</v>
      </c>
      <c r="K35" s="200">
        <v>0</v>
      </c>
      <c r="L35" s="200">
        <f t="shared" ca="1" si="2"/>
        <v>0</v>
      </c>
      <c r="M35" s="200">
        <f t="shared" ca="1" si="3"/>
        <v>119135000</v>
      </c>
    </row>
    <row r="36" spans="1:13" x14ac:dyDescent="0.35">
      <c r="A36" s="262" t="s">
        <v>211</v>
      </c>
      <c r="B36" s="73" t="str">
        <f>VLOOKUP(A36,'MASTER AKUN'!A34:B89,2,FALSE)</f>
        <v>Retur penjualan</v>
      </c>
      <c r="C36" s="143"/>
      <c r="D36" s="200">
        <f>VLOOKUP(A36,'MASTER AKUN'!A34:D89,4,FALSE)</f>
        <v>0</v>
      </c>
      <c r="E36" s="74">
        <f>VLOOKUP(A36,'MASTER AKUN'!A34:E89,5,FALSE)</f>
        <v>0</v>
      </c>
      <c r="F36" s="200">
        <f ca="1">SUMIF('JURNAL UMUM'!A35:G131,'NERACA SALDO'!A36,'JURNAL UMUM'!F35:F131)</f>
        <v>2125000</v>
      </c>
      <c r="G36" s="200">
        <f ca="1">SUMIF('JURNAL UMUM'!A35:G131,'NERACA SALDO'!A36,'JURNAL UMUM'!G35:G131)</f>
        <v>0</v>
      </c>
      <c r="H36" s="200">
        <f t="shared" ca="1" si="1"/>
        <v>2125000</v>
      </c>
      <c r="I36" s="200">
        <f t="shared" ca="1" si="0"/>
        <v>0</v>
      </c>
      <c r="J36" s="200">
        <v>0</v>
      </c>
      <c r="K36" s="200">
        <v>0</v>
      </c>
      <c r="L36" s="200">
        <f t="shared" ca="1" si="2"/>
        <v>2125000</v>
      </c>
      <c r="M36" s="200">
        <f t="shared" ca="1" si="3"/>
        <v>0</v>
      </c>
    </row>
    <row r="37" spans="1:13" x14ac:dyDescent="0.35">
      <c r="A37" s="262" t="s">
        <v>212</v>
      </c>
      <c r="B37" s="73" t="str">
        <f>VLOOKUP(A37,'MASTER AKUN'!A35:B90,2,FALSE)</f>
        <v>Potongan Penjualan</v>
      </c>
      <c r="C37" s="143"/>
      <c r="D37" s="200">
        <f>VLOOKUP(A37,'MASTER AKUN'!A35:D90,4,FALSE)</f>
        <v>0</v>
      </c>
      <c r="E37" s="74">
        <f>VLOOKUP(A37,'MASTER AKUN'!A35:E90,5,FALSE)</f>
        <v>0</v>
      </c>
      <c r="F37" s="200">
        <f ca="1">SUMIF('JURNAL UMUM'!$A$5:$G$101,'NERACA SALDO'!A37,'JURNAL UMUM'!$F$5:$F$101)</f>
        <v>950000</v>
      </c>
      <c r="G37" s="200">
        <f ca="1">SUMIF('JURNAL UMUM'!A36:G132,'NERACA SALDO'!A37,'JURNAL UMUM'!G36:G132)</f>
        <v>0</v>
      </c>
      <c r="H37" s="200">
        <f t="shared" ca="1" si="1"/>
        <v>950000</v>
      </c>
      <c r="I37" s="200">
        <f t="shared" ca="1" si="0"/>
        <v>0</v>
      </c>
      <c r="J37" s="200">
        <v>0</v>
      </c>
      <c r="K37" s="200">
        <v>0</v>
      </c>
      <c r="L37" s="200">
        <f t="shared" ca="1" si="2"/>
        <v>950000</v>
      </c>
      <c r="M37" s="200">
        <f t="shared" ca="1" si="3"/>
        <v>0</v>
      </c>
    </row>
    <row r="38" spans="1:13" x14ac:dyDescent="0.35">
      <c r="A38" s="266" t="s">
        <v>3</v>
      </c>
      <c r="B38" s="73" t="str">
        <f>VLOOKUP(A38,'MASTER AKUN'!A36:B91,2,FALSE)</f>
        <v>Harga Pokok Penjualan</v>
      </c>
      <c r="C38" s="143"/>
      <c r="D38" s="200">
        <f>VLOOKUP(A38,'MASTER AKUN'!A36:D91,4,FALSE)</f>
        <v>0</v>
      </c>
      <c r="E38" s="74">
        <f>VLOOKUP(A38,'MASTER AKUN'!A36:E91,5,FALSE)</f>
        <v>0</v>
      </c>
      <c r="F38" s="200">
        <f ca="1">SUMIF('JURNAL UMUM'!A37:G133,'NERACA SALDO'!A38,'JURNAL UMUM'!F37:F133)</f>
        <v>98715000</v>
      </c>
      <c r="G38" s="200">
        <f ca="1">SUMIF('JURNAL UMUM'!A37:G133,'NERACA SALDO'!A38,'JURNAL UMUM'!G37:G133)</f>
        <v>1725000</v>
      </c>
      <c r="H38" s="200">
        <f t="shared" ca="1" si="1"/>
        <v>96990000</v>
      </c>
      <c r="I38" s="200">
        <f t="shared" ca="1" si="0"/>
        <v>0</v>
      </c>
      <c r="J38" s="200">
        <v>0</v>
      </c>
      <c r="K38" s="200">
        <v>0</v>
      </c>
      <c r="L38" s="200">
        <f t="shared" ca="1" si="2"/>
        <v>96990000</v>
      </c>
      <c r="M38" s="200">
        <f t="shared" ca="1" si="3"/>
        <v>0</v>
      </c>
    </row>
    <row r="39" spans="1:13" x14ac:dyDescent="0.35">
      <c r="A39" s="266" t="s">
        <v>186</v>
      </c>
      <c r="B39" s="73" t="str">
        <f>VLOOKUP(A39,'MASTER AKUN'!A37:B92,2,FALSE)</f>
        <v>Beban Gaji Karyawan</v>
      </c>
      <c r="C39" s="143"/>
      <c r="D39" s="200">
        <f>VLOOKUP(A39,'MASTER AKUN'!A37:D92,4,FALSE)</f>
        <v>0</v>
      </c>
      <c r="E39" s="74">
        <f>VLOOKUP(A39,'MASTER AKUN'!A37:E92,5,FALSE)</f>
        <v>0</v>
      </c>
      <c r="F39" s="200">
        <f ca="1">SUMIF('JURNAL UMUM'!A38:G134,'NERACA SALDO'!A39,'JURNAL UMUM'!F38:F134)</f>
        <v>14500000</v>
      </c>
      <c r="G39" s="200">
        <f ca="1">SUMIF('JURNAL UMUM'!A38:G134,'NERACA SALDO'!A39,'JURNAL UMUM'!G38:G134)</f>
        <v>0</v>
      </c>
      <c r="H39" s="200">
        <f t="shared" ca="1" si="1"/>
        <v>14500000</v>
      </c>
      <c r="I39" s="200">
        <f t="shared" ca="1" si="0"/>
        <v>0</v>
      </c>
      <c r="J39" s="200">
        <v>0</v>
      </c>
      <c r="K39" s="200">
        <v>0</v>
      </c>
      <c r="L39" s="200">
        <f t="shared" ca="1" si="2"/>
        <v>14500000</v>
      </c>
      <c r="M39" s="200">
        <f t="shared" ca="1" si="3"/>
        <v>0</v>
      </c>
    </row>
    <row r="40" spans="1:13" x14ac:dyDescent="0.35">
      <c r="A40" s="266" t="s">
        <v>185</v>
      </c>
      <c r="B40" s="73" t="str">
        <f>VLOOKUP(A40,'MASTER AKUN'!A38:B93,2,FALSE)</f>
        <v>Beban Sewa</v>
      </c>
      <c r="C40" s="143"/>
      <c r="D40" s="200">
        <f>VLOOKUP(A40,'MASTER AKUN'!A38:D93,4,FALSE)</f>
        <v>0</v>
      </c>
      <c r="E40" s="74">
        <f>VLOOKUP(A40,'MASTER AKUN'!A38:E93,5,FALSE)</f>
        <v>0</v>
      </c>
      <c r="F40" s="200">
        <f ca="1">SUMIF('JURNAL UMUM'!A5:G101,'NERACA SALDO'!A40,'JURNAL UMUM'!F5:F101)</f>
        <v>2750000</v>
      </c>
      <c r="G40" s="200">
        <f ca="1">SUMIF('JURNAL UMUM'!A39:G135,'NERACA SALDO'!A40,'JURNAL UMUM'!G39:G135)</f>
        <v>0</v>
      </c>
      <c r="H40" s="200">
        <f t="shared" ca="1" si="1"/>
        <v>2750000</v>
      </c>
      <c r="I40" s="200">
        <f t="shared" ca="1" si="0"/>
        <v>0</v>
      </c>
      <c r="J40" s="200">
        <v>0</v>
      </c>
      <c r="K40" s="200">
        <v>0</v>
      </c>
      <c r="L40" s="261">
        <f ca="1">IF(H40+J40&gt;I40+K40,((H40+J40)-(I40+K40)),FALSE)</f>
        <v>2750000</v>
      </c>
      <c r="M40" s="200">
        <f t="shared" ca="1" si="3"/>
        <v>0</v>
      </c>
    </row>
    <row r="41" spans="1:13" x14ac:dyDescent="0.35">
      <c r="A41" s="266" t="s">
        <v>292</v>
      </c>
      <c r="B41" s="73" t="str">
        <f>VLOOKUP(A41,'MASTER AKUN'!A39:B94,2,FALSE)</f>
        <v>Beban Piutang Tak Tertagih</v>
      </c>
      <c r="C41" s="143"/>
      <c r="D41" s="200">
        <f>VLOOKUP(A41,'MASTER AKUN'!A39:D94,4,FALSE)</f>
        <v>0</v>
      </c>
      <c r="E41" s="74">
        <f>VLOOKUP(A41,'MASTER AKUN'!A39:E94,5,FALSE)</f>
        <v>0</v>
      </c>
      <c r="F41" s="200">
        <f ca="1">SUMIF('JURNAL UMUM'!A40:G136,'NERACA SALDO'!A41,'JURNAL UMUM'!F40:F136)</f>
        <v>0</v>
      </c>
      <c r="G41" s="200">
        <f ca="1">SUMIF('JURNAL UMUM'!A40:G136,'NERACA SALDO'!A41,'JURNAL UMUM'!G40:G136)</f>
        <v>0</v>
      </c>
      <c r="H41" s="200">
        <f t="shared" ca="1" si="1"/>
        <v>0</v>
      </c>
      <c r="I41" s="200">
        <f t="shared" ca="1" si="0"/>
        <v>0</v>
      </c>
      <c r="J41" s="200">
        <f>VLOOKUP(A41,'JURNAL PENYESUAIAN'!A5:G18,6,FALSE)</f>
        <v>2375000</v>
      </c>
      <c r="K41" s="200">
        <v>0</v>
      </c>
      <c r="L41" s="200">
        <f t="shared" ca="1" si="2"/>
        <v>2375000</v>
      </c>
      <c r="M41" s="200">
        <f t="shared" ca="1" si="3"/>
        <v>0</v>
      </c>
    </row>
    <row r="42" spans="1:13" x14ac:dyDescent="0.35">
      <c r="A42" s="266" t="s">
        <v>184</v>
      </c>
      <c r="B42" s="73" t="str">
        <f>VLOOKUP(A42,'MASTER AKUN'!A40:B95,2,FALSE)</f>
        <v>Beban Listrik</v>
      </c>
      <c r="C42" s="143"/>
      <c r="D42" s="200">
        <f>VLOOKUP(A42,'MASTER AKUN'!A40:D95,4,FALSE)</f>
        <v>0</v>
      </c>
      <c r="E42" s="74">
        <f>VLOOKUP(A42,'MASTER AKUN'!A40:E95,5,FALSE)</f>
        <v>0</v>
      </c>
      <c r="F42" s="200">
        <f ca="1">SUMIF('JURNAL UMUM'!A41:G137,'NERACA SALDO'!A42,'JURNAL UMUM'!F41:F137)</f>
        <v>175000</v>
      </c>
      <c r="G42" s="200">
        <f ca="1">SUMIF('JURNAL UMUM'!A41:G137,'NERACA SALDO'!A42,'JURNAL UMUM'!G41:G137)</f>
        <v>0</v>
      </c>
      <c r="H42" s="200">
        <f t="shared" ca="1" si="1"/>
        <v>175000</v>
      </c>
      <c r="I42" s="200">
        <f t="shared" ca="1" si="0"/>
        <v>0</v>
      </c>
      <c r="J42" s="200">
        <v>0</v>
      </c>
      <c r="K42" s="200">
        <v>0</v>
      </c>
      <c r="L42" s="200">
        <f t="shared" ca="1" si="2"/>
        <v>175000</v>
      </c>
      <c r="M42" s="200">
        <f t="shared" ca="1" si="3"/>
        <v>0</v>
      </c>
    </row>
    <row r="43" spans="1:13" x14ac:dyDescent="0.35">
      <c r="A43" s="266" t="s">
        <v>183</v>
      </c>
      <c r="B43" s="73" t="str">
        <f>VLOOKUP(A43,'MASTER AKUN'!A41:B96,2,FALSE)</f>
        <v>Beban Telepon</v>
      </c>
      <c r="C43" s="143"/>
      <c r="D43" s="200">
        <f>VLOOKUP(A43,'MASTER AKUN'!A41:D96,4,FALSE)</f>
        <v>0</v>
      </c>
      <c r="E43" s="74">
        <f>VLOOKUP(A43,'MASTER AKUN'!A41:E96,5,FALSE)</f>
        <v>0</v>
      </c>
      <c r="F43" s="200">
        <f ca="1">SUMIF('JURNAL UMUM'!A42:G138,'NERACA SALDO'!A43,'JURNAL UMUM'!F42:F138)</f>
        <v>212500</v>
      </c>
      <c r="G43" s="200">
        <f ca="1">SUMIF('JURNAL UMUM'!A42:G138,'NERACA SALDO'!A43,'JURNAL UMUM'!G42:G138)</f>
        <v>0</v>
      </c>
      <c r="H43" s="200">
        <f t="shared" ca="1" si="1"/>
        <v>212500</v>
      </c>
      <c r="I43" s="200">
        <f t="shared" ca="1" si="0"/>
        <v>0</v>
      </c>
      <c r="J43" s="200">
        <v>0</v>
      </c>
      <c r="K43" s="200">
        <v>0</v>
      </c>
      <c r="L43" s="200">
        <f t="shared" ca="1" si="2"/>
        <v>212500</v>
      </c>
      <c r="M43" s="200">
        <f t="shared" ca="1" si="3"/>
        <v>0</v>
      </c>
    </row>
    <row r="44" spans="1:13" x14ac:dyDescent="0.35">
      <c r="A44" s="242" t="s">
        <v>182</v>
      </c>
      <c r="B44" s="73" t="str">
        <f>VLOOKUP(A44,'MASTER AKUN'!A4:B59,2,FALSE)</f>
        <v>Beban Penyusutan peralatan Kantor</v>
      </c>
      <c r="C44" s="73"/>
      <c r="D44" s="74">
        <f>VLOOKUP(A44,'MASTER AKUN'!A4:D59,4,FALSE)</f>
        <v>0</v>
      </c>
      <c r="E44" s="74">
        <f>VLOOKUP(A44,'MASTER AKUN'!A4:E59,5,FALSE)</f>
        <v>0</v>
      </c>
      <c r="F44" s="74">
        <f ca="1">SUMIF('JURNAL UMUM'!A5:G101,'NERACA SALDO'!A44,'JURNAL UMUM'!F5:F101)</f>
        <v>0</v>
      </c>
      <c r="G44" s="200">
        <f ca="1">SUMIF('JURNAL UMUM'!A43:G139,'NERACA SALDO'!A44,'JURNAL UMUM'!G43:G139)</f>
        <v>0</v>
      </c>
      <c r="H44" s="200">
        <f t="shared" ca="1" si="1"/>
        <v>0</v>
      </c>
      <c r="I44" s="200">
        <f t="shared" ca="1" si="0"/>
        <v>0</v>
      </c>
      <c r="J44" s="200">
        <f>VLOOKUP(A44,'JURNAL PENYESUAIAN'!A5:G18,6,FALSE)</f>
        <v>400000</v>
      </c>
      <c r="K44" s="200">
        <v>0</v>
      </c>
      <c r="L44" s="200">
        <f t="shared" ca="1" si="2"/>
        <v>400000</v>
      </c>
      <c r="M44" s="200">
        <f t="shared" ca="1" si="3"/>
        <v>0</v>
      </c>
    </row>
    <row r="45" spans="1:13" x14ac:dyDescent="0.35">
      <c r="A45" s="242" t="s">
        <v>181</v>
      </c>
      <c r="B45" s="73" t="str">
        <f>VLOOKUP(A45,'MASTER AKUN'!A5:B60,2,FALSE)</f>
        <v>Beban Penyusutan Kendaraan</v>
      </c>
      <c r="C45" s="73"/>
      <c r="D45" s="74">
        <f>VLOOKUP(A45,'MASTER AKUN'!A5:D60,4,FALSE)</f>
        <v>0</v>
      </c>
      <c r="E45" s="74">
        <f>VLOOKUP(A45,'MASTER AKUN'!A5:E60,5,FALSE)</f>
        <v>0</v>
      </c>
      <c r="F45" s="74">
        <f ca="1">SUMIF('JURNAL UMUM'!A6:G102,'NERACA SALDO'!A45,'JURNAL UMUM'!F6:F102)</f>
        <v>0</v>
      </c>
      <c r="G45" s="200">
        <f ca="1">SUMIF('JURNAL UMUM'!A44:G140,'NERACA SALDO'!A45,'JURNAL UMUM'!G44:G140)</f>
        <v>0</v>
      </c>
      <c r="H45" s="200">
        <f t="shared" ca="1" si="1"/>
        <v>0</v>
      </c>
      <c r="I45" s="200">
        <f t="shared" ca="1" si="0"/>
        <v>0</v>
      </c>
      <c r="J45" s="200">
        <f>VLOOKUP(A45,'JURNAL PENYESUAIAN'!A6:G19,6,FALSE)</f>
        <v>500000</v>
      </c>
      <c r="K45" s="200">
        <v>0</v>
      </c>
      <c r="L45" s="200">
        <f t="shared" ca="1" si="2"/>
        <v>500000</v>
      </c>
      <c r="M45" s="200">
        <f t="shared" ca="1" si="3"/>
        <v>0</v>
      </c>
    </row>
    <row r="46" spans="1:13" x14ac:dyDescent="0.35">
      <c r="A46" s="242" t="s">
        <v>180</v>
      </c>
      <c r="B46" s="73" t="str">
        <f>VLOOKUP(A46,'MASTER AKUN'!A6:B61,2,FALSE)</f>
        <v xml:space="preserve">Beban pemasaran </v>
      </c>
      <c r="C46" s="73"/>
      <c r="D46" s="74">
        <f>VLOOKUP(A46,'MASTER AKUN'!A6:D61,4,FALSE)</f>
        <v>0</v>
      </c>
      <c r="E46" s="74">
        <f>VLOOKUP(A46,'MASTER AKUN'!A6:E61,5,FALSE)</f>
        <v>0</v>
      </c>
      <c r="F46" s="74">
        <f ca="1">SUMIF('JURNAL UMUM'!A7:G103,'NERACA SALDO'!A46,'JURNAL UMUM'!F7:F103)</f>
        <v>750000</v>
      </c>
      <c r="G46" s="200">
        <f ca="1">SUMIF('JURNAL UMUM'!A45:G141,'NERACA SALDO'!A46,'JURNAL UMUM'!G45:G141)</f>
        <v>0</v>
      </c>
      <c r="H46" s="200">
        <f t="shared" ca="1" si="1"/>
        <v>750000</v>
      </c>
      <c r="I46" s="200">
        <f t="shared" ca="1" si="0"/>
        <v>0</v>
      </c>
      <c r="J46" s="200">
        <v>0</v>
      </c>
      <c r="K46" s="200">
        <v>0</v>
      </c>
      <c r="L46" s="200">
        <f t="shared" ca="1" si="2"/>
        <v>750000</v>
      </c>
      <c r="M46" s="200">
        <f t="shared" ca="1" si="3"/>
        <v>0</v>
      </c>
    </row>
    <row r="47" spans="1:13" x14ac:dyDescent="0.35">
      <c r="A47" s="242" t="s">
        <v>179</v>
      </c>
      <c r="B47" s="73" t="str">
        <f>VLOOKUP(A47,'MASTER AKUN'!A7:B62,2,FALSE)</f>
        <v>Beban Transportasi</v>
      </c>
      <c r="C47" s="73"/>
      <c r="D47" s="74">
        <f>VLOOKUP(A47,'MASTER AKUN'!A7:D62,4,FALSE)</f>
        <v>0</v>
      </c>
      <c r="E47" s="74">
        <f>VLOOKUP(A47,'MASTER AKUN'!A7:E62,5,FALSE)</f>
        <v>0</v>
      </c>
      <c r="F47" s="74">
        <f ca="1">SUMIF('JURNAL UMUM'!A8:G104,'NERACA SALDO'!A47,'JURNAL UMUM'!F8:F104)</f>
        <v>250000</v>
      </c>
      <c r="G47" s="200">
        <f ca="1">SUMIF('JURNAL UMUM'!A46:G142,'NERACA SALDO'!A47,'JURNAL UMUM'!G46:G142)</f>
        <v>0</v>
      </c>
      <c r="H47" s="200">
        <f t="shared" ca="1" si="1"/>
        <v>250000</v>
      </c>
      <c r="I47" s="200">
        <f t="shared" ca="1" si="0"/>
        <v>0</v>
      </c>
      <c r="J47" s="200">
        <v>0</v>
      </c>
      <c r="K47" s="200">
        <v>0</v>
      </c>
      <c r="L47" s="200">
        <f t="shared" ca="1" si="2"/>
        <v>250000</v>
      </c>
      <c r="M47" s="200">
        <f t="shared" ca="1" si="3"/>
        <v>0</v>
      </c>
    </row>
    <row r="48" spans="1:13" x14ac:dyDescent="0.35">
      <c r="A48" s="242" t="s">
        <v>178</v>
      </c>
      <c r="B48" s="73" t="str">
        <f>VLOOKUP(A48,'MASTER AKUN'!A8:B63,2,FALSE)</f>
        <v>Beban Perawatan AC</v>
      </c>
      <c r="C48" s="73"/>
      <c r="D48" s="74">
        <f>VLOOKUP(A48,'MASTER AKUN'!A8:D63,4,FALSE)</f>
        <v>0</v>
      </c>
      <c r="E48" s="74">
        <f>VLOOKUP(A48,'MASTER AKUN'!A8:E63,5,FALSE)</f>
        <v>0</v>
      </c>
      <c r="F48" s="74">
        <f ca="1">SUMIF('JURNAL UMUM'!A9:G105,'NERACA SALDO'!A48,'JURNAL UMUM'!F9:F105)</f>
        <v>200000</v>
      </c>
      <c r="G48" s="200">
        <f ca="1">SUMIF('JURNAL UMUM'!A47:G143,'NERACA SALDO'!A48,'JURNAL UMUM'!G47:G143)</f>
        <v>0</v>
      </c>
      <c r="H48" s="200">
        <f t="shared" ca="1" si="1"/>
        <v>200000</v>
      </c>
      <c r="I48" s="200">
        <f t="shared" ca="1" si="0"/>
        <v>0</v>
      </c>
      <c r="J48" s="200">
        <v>0</v>
      </c>
      <c r="K48" s="200">
        <v>0</v>
      </c>
      <c r="L48" s="200">
        <f t="shared" ca="1" si="2"/>
        <v>200000</v>
      </c>
      <c r="M48" s="200">
        <f t="shared" ca="1" si="3"/>
        <v>0</v>
      </c>
    </row>
    <row r="49" spans="1:13" x14ac:dyDescent="0.35">
      <c r="A49" s="242" t="s">
        <v>177</v>
      </c>
      <c r="B49" s="73" t="str">
        <f>VLOOKUP(A49,'MASTER AKUN'!A9:B64,2,FALSE)</f>
        <v>Beban Perlengkapan Kantor</v>
      </c>
      <c r="C49" s="73"/>
      <c r="D49" s="74">
        <f>VLOOKUP(A49,'MASTER AKUN'!A9:D64,4,FALSE)</f>
        <v>0</v>
      </c>
      <c r="E49" s="74">
        <f>VLOOKUP(A49,'MASTER AKUN'!A9:E64,5,FALSE)</f>
        <v>0</v>
      </c>
      <c r="F49" s="74">
        <f ca="1">SUMIF('JURNAL UMUM'!A10:G106,'NERACA SALDO'!A49,'JURNAL UMUM'!F10:F106)</f>
        <v>50000</v>
      </c>
      <c r="G49" s="200">
        <f ca="1">SUMIF('JURNAL UMUM'!A48:G144,'NERACA SALDO'!A49,'JURNAL UMUM'!G48:G144)</f>
        <v>0</v>
      </c>
      <c r="H49" s="200">
        <f t="shared" ca="1" si="1"/>
        <v>50000</v>
      </c>
      <c r="I49" s="200">
        <f t="shared" ca="1" si="0"/>
        <v>0</v>
      </c>
      <c r="J49" s="200">
        <v>0</v>
      </c>
      <c r="K49" s="200">
        <v>0</v>
      </c>
      <c r="L49" s="200">
        <f t="shared" ca="1" si="2"/>
        <v>50000</v>
      </c>
      <c r="M49" s="200">
        <f t="shared" ca="1" si="3"/>
        <v>0</v>
      </c>
    </row>
    <row r="50" spans="1:13" x14ac:dyDescent="0.35">
      <c r="A50" s="242" t="s">
        <v>176</v>
      </c>
      <c r="B50" s="73" t="str">
        <f>VLOOKUP(A50,'MASTER AKUN'!A10:B65,2,FALSE)</f>
        <v>Beban Umum Lain-Lain</v>
      </c>
      <c r="C50" s="73"/>
      <c r="D50" s="74">
        <f>VLOOKUP(A50,'MASTER AKUN'!A10:D65,4,FALSE)</f>
        <v>0</v>
      </c>
      <c r="E50" s="74">
        <f>VLOOKUP(A50,'MASTER AKUN'!A10:E65,5,FALSE)</f>
        <v>0</v>
      </c>
      <c r="F50" s="74">
        <f ca="1">SUMIF('JURNAL UMUM'!A11:G107,'NERACA SALDO'!A50,'JURNAL UMUM'!F11:F107)</f>
        <v>0</v>
      </c>
      <c r="G50" s="200">
        <f ca="1">SUMIF('JURNAL UMUM'!A49:G145,'NERACA SALDO'!A50,'JURNAL UMUM'!G49:G145)</f>
        <v>0</v>
      </c>
      <c r="H50" s="200">
        <f t="shared" ca="1" si="1"/>
        <v>0</v>
      </c>
      <c r="I50" s="200">
        <f t="shared" ca="1" si="0"/>
        <v>0</v>
      </c>
      <c r="J50" s="200">
        <v>0</v>
      </c>
      <c r="K50" s="200">
        <v>0</v>
      </c>
      <c r="L50" s="200">
        <f t="shared" ca="1" si="2"/>
        <v>0</v>
      </c>
      <c r="M50" s="200">
        <f t="shared" ca="1" si="3"/>
        <v>0</v>
      </c>
    </row>
    <row r="51" spans="1:13" x14ac:dyDescent="0.35">
      <c r="A51" s="242" t="s">
        <v>175</v>
      </c>
      <c r="B51" s="73" t="str">
        <f>VLOOKUP(A51,'MASTER AKUN'!A11:B66,2,FALSE)</f>
        <v>Laba Penjualan Aktiva Tetap</v>
      </c>
      <c r="C51" s="73"/>
      <c r="D51" s="74">
        <f>VLOOKUP(A51,'MASTER AKUN'!A11:D66,4,FALSE)</f>
        <v>0</v>
      </c>
      <c r="E51" s="74">
        <f>VLOOKUP(A51,'MASTER AKUN'!A11:E66,5,FALSE)</f>
        <v>0</v>
      </c>
      <c r="F51" s="74">
        <f ca="1">SUMIF('JURNAL UMUM'!A12:G108,'NERACA SALDO'!A51,'JURNAL UMUM'!F12:F108)</f>
        <v>0</v>
      </c>
      <c r="G51" s="200">
        <f ca="1">SUMIF('JURNAL UMUM'!A50:G146,'NERACA SALDO'!A51,'JURNAL UMUM'!G50:G146)</f>
        <v>1000000</v>
      </c>
      <c r="H51" s="200">
        <f t="shared" ca="1" si="1"/>
        <v>0</v>
      </c>
      <c r="I51" s="200">
        <f t="shared" ca="1" si="0"/>
        <v>1000000</v>
      </c>
      <c r="J51" s="200">
        <v>0</v>
      </c>
      <c r="K51" s="200">
        <v>0</v>
      </c>
      <c r="L51" s="200">
        <f t="shared" ca="1" si="2"/>
        <v>0</v>
      </c>
      <c r="M51" s="200">
        <f t="shared" ca="1" si="3"/>
        <v>1000000</v>
      </c>
    </row>
    <row r="52" spans="1:13" x14ac:dyDescent="0.35">
      <c r="A52" s="242" t="s">
        <v>174</v>
      </c>
      <c r="B52" s="73" t="str">
        <f>VLOOKUP(A52,'MASTER AKUN'!A12:B67,2,FALSE)</f>
        <v>Pendapatan Jasa Giro</v>
      </c>
      <c r="C52" s="73"/>
      <c r="D52" s="74">
        <f>VLOOKUP(A52,'MASTER AKUN'!A12:D67,4,FALSE)</f>
        <v>0</v>
      </c>
      <c r="E52" s="74">
        <f>VLOOKUP(A52,'MASTER AKUN'!A12:E67,5,FALSE)</f>
        <v>0</v>
      </c>
      <c r="F52" s="74">
        <f ca="1">SUMIF('JURNAL UMUM'!A13:G109,'NERACA SALDO'!A52,'JURNAL UMUM'!F13:F109)</f>
        <v>0</v>
      </c>
      <c r="G52" s="200">
        <f ca="1">SUMIF('JURNAL UMUM'!A51:G147,'NERACA SALDO'!A52,'JURNAL UMUM'!G51:G147)</f>
        <v>0</v>
      </c>
      <c r="H52" s="200">
        <f t="shared" ca="1" si="1"/>
        <v>0</v>
      </c>
      <c r="I52" s="200">
        <f t="shared" ca="1" si="0"/>
        <v>0</v>
      </c>
      <c r="J52" s="200">
        <f>VLOOKUP(A52,'JURNAL PENYESUAIAN'!A13:G26,6,FALSE)</f>
        <v>0</v>
      </c>
      <c r="K52" s="200">
        <f>VLOOKUP(A52,'JURNAL PENYESUAIAN'!A5:G18,7,FALSE)</f>
        <v>1350000</v>
      </c>
      <c r="L52" s="200">
        <f t="shared" ca="1" si="2"/>
        <v>0</v>
      </c>
      <c r="M52" s="200">
        <f t="shared" ca="1" si="3"/>
        <v>1350000</v>
      </c>
    </row>
    <row r="53" spans="1:13" x14ac:dyDescent="0.35">
      <c r="A53" s="242" t="s">
        <v>173</v>
      </c>
      <c r="B53" s="73" t="str">
        <f>VLOOKUP(A53,'MASTER AKUN'!A13:B68,2,FALSE)</f>
        <v>Beban Administrasi Bank</v>
      </c>
      <c r="C53" s="73"/>
      <c r="D53" s="74">
        <f>VLOOKUP(A53,'MASTER AKUN'!A13:D68,4,FALSE)</f>
        <v>0</v>
      </c>
      <c r="E53" s="74">
        <f>VLOOKUP(A53,'MASTER AKUN'!A13:E68,5,FALSE)</f>
        <v>0</v>
      </c>
      <c r="F53" s="74">
        <f ca="1">SUMIF('JURNAL UMUM'!A14:G110,'NERACA SALDO'!A53,'JURNAL UMUM'!F14:F110)</f>
        <v>0</v>
      </c>
      <c r="G53" s="200">
        <f ca="1">SUMIF('JURNAL UMUM'!A52:G148,'NERACA SALDO'!A53,'JURNAL UMUM'!G52:G148)</f>
        <v>0</v>
      </c>
      <c r="H53" s="200">
        <f t="shared" ca="1" si="1"/>
        <v>0</v>
      </c>
      <c r="I53" s="200">
        <f t="shared" ca="1" si="0"/>
        <v>0</v>
      </c>
      <c r="J53" s="200">
        <f>VLOOKUP(A53,'JURNAL PENYESUAIAN'!A14:G27,6,FALSE)</f>
        <v>150000</v>
      </c>
      <c r="K53" s="200">
        <f>VLOOKUP(A53,'JURNAL PENYESUAIAN'!A6:G19,7,FALSE)</f>
        <v>0</v>
      </c>
      <c r="L53" s="200">
        <f t="shared" ca="1" si="2"/>
        <v>150000</v>
      </c>
      <c r="M53" s="200">
        <f t="shared" ca="1" si="3"/>
        <v>0</v>
      </c>
    </row>
    <row r="54" spans="1:13" x14ac:dyDescent="0.35">
      <c r="A54" s="263" t="s">
        <v>172</v>
      </c>
      <c r="B54" s="73" t="str">
        <f>VLOOKUP(A54,'MASTER AKUN'!A14:B69,2,FALSE)</f>
        <v>Beban bunga</v>
      </c>
      <c r="C54" s="73"/>
      <c r="D54" s="74">
        <f>VLOOKUP(A54,'MASTER AKUN'!A14:D69,4,FALSE)</f>
        <v>0</v>
      </c>
      <c r="E54" s="74">
        <f>VLOOKUP(A54,'MASTER AKUN'!A14:E69,5,FALSE)</f>
        <v>0</v>
      </c>
      <c r="F54" s="74">
        <f ca="1">SUMIF('JURNAL UMUM'!A15:G111,'NERACA SALDO'!A54,'JURNAL UMUM'!F15:F111)</f>
        <v>0</v>
      </c>
      <c r="G54" s="200">
        <f ca="1">SUMIF('JURNAL UMUM'!A53:G149,'NERACA SALDO'!A54,'JURNAL UMUM'!G53:G149)</f>
        <v>0</v>
      </c>
      <c r="H54" s="200">
        <f t="shared" ca="1" si="1"/>
        <v>0</v>
      </c>
      <c r="I54" s="200">
        <f t="shared" ca="1" si="0"/>
        <v>0</v>
      </c>
      <c r="J54" s="200">
        <f>VLOOKUP(A54,'JURNAL PENYESUAIAN'!A5:G18,6,FALSE)</f>
        <v>1500000</v>
      </c>
      <c r="K54" s="200">
        <f>VLOOKUP(A54,'JURNAL PENYESUAIAN'!A7:G20,7,FALSE)</f>
        <v>0</v>
      </c>
      <c r="L54" s="200">
        <f t="shared" ca="1" si="2"/>
        <v>1500000</v>
      </c>
      <c r="M54" s="200">
        <f t="shared" ca="1" si="3"/>
        <v>0</v>
      </c>
    </row>
    <row r="55" spans="1:13" x14ac:dyDescent="0.35">
      <c r="A55" s="250"/>
      <c r="B55" s="251"/>
      <c r="C55" s="252"/>
      <c r="D55" s="74">
        <f>SUM(D6:D54)</f>
        <v>357130000</v>
      </c>
      <c r="E55" s="74">
        <f>SUM(E6:E54)</f>
        <v>357130000</v>
      </c>
      <c r="F55" s="74">
        <f ca="1">SUM(F6:F54)</f>
        <v>423152250</v>
      </c>
      <c r="G55" s="74">
        <f ca="1">SUM(G6:G54)</f>
        <v>417546000</v>
      </c>
      <c r="H55" s="74">
        <f ca="1">SUM(H6:H54)</f>
        <v>495814750</v>
      </c>
      <c r="I55" s="265">
        <f ca="1">SUM(I6:I54)</f>
        <v>490208500</v>
      </c>
      <c r="J55" s="74">
        <f>SUM(J6:J54)</f>
        <v>6125000</v>
      </c>
      <c r="K55" s="74">
        <f>SUM(K6:K54)</f>
        <v>6125000</v>
      </c>
      <c r="L55" s="74">
        <f ca="1">SUM(L6:L54)</f>
        <v>501939750</v>
      </c>
      <c r="M55" s="74">
        <f ca="1">SUM(M6:M54)</f>
        <v>496333500</v>
      </c>
    </row>
  </sheetData>
  <mergeCells count="11">
    <mergeCell ref="A55:C55"/>
    <mergeCell ref="A1:L1"/>
    <mergeCell ref="A2:L2"/>
    <mergeCell ref="A4:A5"/>
    <mergeCell ref="B4:B5"/>
    <mergeCell ref="C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opLeftCell="A15" workbookViewId="0">
      <selection activeCell="J38" sqref="J38"/>
    </sheetView>
  </sheetViews>
  <sheetFormatPr defaultRowHeight="14.5" x14ac:dyDescent="0.35"/>
  <cols>
    <col min="8" max="8" width="15.7265625" customWidth="1"/>
    <col min="9" max="9" width="15.6328125" customWidth="1"/>
    <col min="10" max="10" width="15.7265625" customWidth="1"/>
  </cols>
  <sheetData>
    <row r="1" spans="1:10" x14ac:dyDescent="0.35">
      <c r="A1" s="254" t="s">
        <v>18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 x14ac:dyDescent="0.35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x14ac:dyDescent="0.35">
      <c r="A3" s="67"/>
      <c r="B3" s="67"/>
      <c r="C3" s="67"/>
      <c r="D3" s="67"/>
      <c r="E3" s="67"/>
    </row>
    <row r="4" spans="1:10" x14ac:dyDescent="0.35">
      <c r="A4" s="67"/>
      <c r="B4" s="67"/>
      <c r="C4" s="67"/>
      <c r="D4" s="67"/>
      <c r="E4" s="67"/>
    </row>
    <row r="5" spans="1:10" x14ac:dyDescent="0.35">
      <c r="A5" s="139" t="s">
        <v>316</v>
      </c>
      <c r="B5" s="21"/>
      <c r="C5" s="21"/>
      <c r="D5" s="21"/>
      <c r="E5" s="255"/>
      <c r="F5" s="255"/>
      <c r="G5" s="255"/>
      <c r="H5" s="255"/>
      <c r="I5" s="255"/>
      <c r="J5" s="255"/>
    </row>
    <row r="6" spans="1:10" x14ac:dyDescent="0.35">
      <c r="A6" s="21"/>
      <c r="B6" s="21" t="str">
        <f>'NERACA SALDO'!B35</f>
        <v xml:space="preserve">Penjualan </v>
      </c>
      <c r="C6" s="21"/>
      <c r="D6" s="21"/>
      <c r="E6" s="255"/>
      <c r="F6" s="255"/>
      <c r="G6" s="255"/>
      <c r="H6" s="255"/>
      <c r="I6" s="255"/>
      <c r="J6" s="255">
        <f ca="1">VLOOKUP(B6,'NERACA SALDO'!$B$6:$M$54,12,FALSE)</f>
        <v>119135000</v>
      </c>
    </row>
    <row r="7" spans="1:10" x14ac:dyDescent="0.35">
      <c r="A7" s="21"/>
      <c r="B7" s="41" t="str">
        <f>'NERACA SALDO'!B37</f>
        <v>Potongan Penjualan</v>
      </c>
      <c r="C7" s="21"/>
      <c r="D7" s="21"/>
      <c r="E7" s="255"/>
      <c r="F7" s="255"/>
      <c r="G7" s="255"/>
      <c r="H7" s="256">
        <f ca="1">VLOOKUP(B7,'NERACA SALDO'!B6:M54,11,FALSE)</f>
        <v>950000</v>
      </c>
      <c r="I7" s="255"/>
      <c r="J7" s="255"/>
    </row>
    <row r="8" spans="1:10" x14ac:dyDescent="0.35">
      <c r="A8" s="21"/>
      <c r="B8" s="21" t="s">
        <v>2</v>
      </c>
      <c r="C8" s="21"/>
      <c r="D8" s="21"/>
      <c r="E8" s="255"/>
      <c r="F8" s="255"/>
      <c r="G8" s="255"/>
      <c r="H8" s="256">
        <f ca="1">VLOOKUP(B8,'NERACA SALDO'!$B$6:$M$54,11,FALSE)</f>
        <v>2125000</v>
      </c>
      <c r="I8" s="255"/>
      <c r="J8" s="255"/>
    </row>
    <row r="9" spans="1:10" x14ac:dyDescent="0.35">
      <c r="A9" s="139" t="s">
        <v>317</v>
      </c>
      <c r="B9" s="21"/>
      <c r="C9" s="21"/>
      <c r="D9" s="21"/>
      <c r="E9" s="255"/>
      <c r="F9" s="255"/>
      <c r="G9" s="255"/>
      <c r="H9" s="255"/>
      <c r="I9" s="256">
        <f ca="1">SUM(H7:H8)</f>
        <v>3075000</v>
      </c>
      <c r="J9" s="255"/>
    </row>
    <row r="10" spans="1:10" x14ac:dyDescent="0.35">
      <c r="A10" s="139" t="s">
        <v>65</v>
      </c>
      <c r="B10" s="21"/>
      <c r="C10" s="21"/>
      <c r="D10" s="21"/>
      <c r="E10" s="255"/>
      <c r="F10" s="255"/>
      <c r="G10" s="255"/>
      <c r="H10" s="255"/>
      <c r="I10" s="255"/>
      <c r="J10" s="255">
        <f ca="1">J6+I9</f>
        <v>122210000</v>
      </c>
    </row>
    <row r="11" spans="1:10" x14ac:dyDescent="0.35">
      <c r="A11" s="139" t="s">
        <v>4</v>
      </c>
      <c r="B11" s="21"/>
      <c r="C11" s="21"/>
      <c r="D11" s="21"/>
      <c r="E11" s="255"/>
      <c r="F11" s="255"/>
      <c r="G11" s="255"/>
      <c r="H11" s="255"/>
      <c r="I11" s="255"/>
      <c r="J11" s="255"/>
    </row>
    <row r="12" spans="1:10" x14ac:dyDescent="0.35">
      <c r="A12" s="21"/>
      <c r="B12" s="21" t="s">
        <v>4</v>
      </c>
      <c r="C12" s="21"/>
      <c r="D12" s="21"/>
      <c r="E12" s="255"/>
      <c r="F12" s="255"/>
      <c r="G12" s="255"/>
      <c r="H12" s="256">
        <f ca="1">VLOOKUP(B12,'NERACA SALDO'!$B$6:$M$54,11,FALSE)</f>
        <v>96990000</v>
      </c>
      <c r="I12" s="255"/>
      <c r="J12" s="255"/>
    </row>
    <row r="13" spans="1:10" x14ac:dyDescent="0.35">
      <c r="A13" s="139" t="s">
        <v>318</v>
      </c>
      <c r="B13" s="21"/>
      <c r="C13" s="21"/>
      <c r="D13" s="21"/>
      <c r="E13" s="255"/>
      <c r="F13" s="255"/>
      <c r="G13" s="255"/>
      <c r="H13" s="255"/>
      <c r="I13" s="255"/>
      <c r="J13" s="255">
        <f ca="1">J10-H12</f>
        <v>25220000</v>
      </c>
    </row>
    <row r="14" spans="1:10" x14ac:dyDescent="0.35">
      <c r="A14" s="139" t="s">
        <v>319</v>
      </c>
      <c r="B14" s="21"/>
      <c r="C14" s="21"/>
      <c r="D14" s="21"/>
      <c r="E14" s="255"/>
      <c r="F14" s="255"/>
      <c r="G14" s="255"/>
      <c r="H14" s="255"/>
      <c r="I14" s="255"/>
      <c r="J14" s="255"/>
    </row>
    <row r="15" spans="1:10" x14ac:dyDescent="0.35">
      <c r="A15" s="21"/>
      <c r="B15" s="21" t="str">
        <f>'NERACA SALDO'!B39</f>
        <v>Beban Gaji Karyawan</v>
      </c>
      <c r="C15" s="21"/>
      <c r="D15" s="21"/>
      <c r="E15" s="255"/>
      <c r="F15" s="255"/>
      <c r="G15" s="255"/>
      <c r="H15" s="256">
        <f ca="1">VLOOKUP(B15,'NERACA SALDO'!$B$6:$M$54,11,FALSE)</f>
        <v>14500000</v>
      </c>
      <c r="I15" s="255"/>
      <c r="J15" s="255"/>
    </row>
    <row r="16" spans="1:10" x14ac:dyDescent="0.35">
      <c r="A16" s="21"/>
      <c r="B16" s="21" t="str">
        <f>'NERACA SALDO'!B40</f>
        <v>Beban Sewa</v>
      </c>
      <c r="C16" s="21"/>
      <c r="D16" s="21"/>
      <c r="E16" s="255"/>
      <c r="F16" s="255"/>
      <c r="G16" s="255"/>
      <c r="H16" s="256">
        <f ca="1">VLOOKUP(B16,'NERACA SALDO'!$B$6:$M$54,11,FALSE)</f>
        <v>2750000</v>
      </c>
      <c r="I16" s="255"/>
      <c r="J16" s="255"/>
    </row>
    <row r="17" spans="1:10" x14ac:dyDescent="0.35">
      <c r="A17" s="21"/>
      <c r="B17" s="21" t="str">
        <f>'NERACA SALDO'!B41</f>
        <v>Beban Piutang Tak Tertagih</v>
      </c>
      <c r="C17" s="21"/>
      <c r="D17" s="21"/>
      <c r="E17" s="255"/>
      <c r="F17" s="255"/>
      <c r="G17" s="255"/>
      <c r="H17" s="256">
        <f ca="1">VLOOKUP(B17,'NERACA SALDO'!$B$6:$M$54,11,FALSE)</f>
        <v>2375000</v>
      </c>
      <c r="I17" s="255"/>
      <c r="J17" s="255"/>
    </row>
    <row r="18" spans="1:10" x14ac:dyDescent="0.35">
      <c r="A18" s="21"/>
      <c r="B18" s="21" t="str">
        <f>'NERACA SALDO'!B42</f>
        <v>Beban Listrik</v>
      </c>
      <c r="C18" s="21"/>
      <c r="D18" s="21"/>
      <c r="E18" s="255"/>
      <c r="F18" s="255"/>
      <c r="G18" s="255"/>
      <c r="H18" s="256">
        <f ca="1">VLOOKUP(B18,'NERACA SALDO'!$B$6:$M$54,11,FALSE)</f>
        <v>175000</v>
      </c>
      <c r="I18" s="255"/>
      <c r="J18" s="255"/>
    </row>
    <row r="19" spans="1:10" x14ac:dyDescent="0.35">
      <c r="A19" s="21"/>
      <c r="B19" s="21" t="str">
        <f>'NERACA SALDO'!B43</f>
        <v>Beban Telepon</v>
      </c>
      <c r="C19" s="21"/>
      <c r="D19" s="21"/>
      <c r="E19" s="255"/>
      <c r="F19" s="255"/>
      <c r="G19" s="255"/>
      <c r="H19" s="256">
        <f ca="1">VLOOKUP(B19,'NERACA SALDO'!$B$6:$M$54,11,FALSE)</f>
        <v>212500</v>
      </c>
      <c r="I19" s="255"/>
      <c r="J19" s="255"/>
    </row>
    <row r="20" spans="1:10" x14ac:dyDescent="0.35">
      <c r="A20" s="21"/>
      <c r="B20" s="21" t="str">
        <f>'NERACA SALDO'!B44</f>
        <v>Beban Penyusutan peralatan Kantor</v>
      </c>
      <c r="C20" s="21"/>
      <c r="D20" s="21"/>
      <c r="E20" s="255"/>
      <c r="F20" s="255"/>
      <c r="G20" s="255"/>
      <c r="H20" s="256">
        <f ca="1">VLOOKUP(B20,'NERACA SALDO'!$B$6:$M$54,11,FALSE)</f>
        <v>400000</v>
      </c>
      <c r="I20" s="255"/>
      <c r="J20" s="255"/>
    </row>
    <row r="21" spans="1:10" x14ac:dyDescent="0.35">
      <c r="A21" s="21"/>
      <c r="B21" s="21" t="str">
        <f>'NERACA SALDO'!B45</f>
        <v>Beban Penyusutan Kendaraan</v>
      </c>
      <c r="C21" s="21"/>
      <c r="D21" s="21"/>
      <c r="E21" s="255"/>
      <c r="F21" s="255"/>
      <c r="G21" s="255"/>
      <c r="H21" s="256">
        <f ca="1">VLOOKUP(B21,'NERACA SALDO'!$B$6:$M$54,11,FALSE)</f>
        <v>500000</v>
      </c>
      <c r="I21" s="255"/>
      <c r="J21" s="255"/>
    </row>
    <row r="22" spans="1:10" x14ac:dyDescent="0.35">
      <c r="A22" s="21"/>
      <c r="B22" s="41" t="str">
        <f>'NERACA SALDO'!B46</f>
        <v xml:space="preserve">Beban pemasaran </v>
      </c>
      <c r="C22" s="41"/>
      <c r="D22" s="21"/>
      <c r="E22" s="255"/>
      <c r="F22" s="255"/>
      <c r="G22" s="255"/>
      <c r="H22" s="256">
        <f ca="1">VLOOKUP(B22,'NERACA SALDO'!$B$6:$M$54,11,FALSE)</f>
        <v>750000</v>
      </c>
      <c r="I22" s="255"/>
      <c r="J22" s="255"/>
    </row>
    <row r="23" spans="1:10" x14ac:dyDescent="0.35">
      <c r="A23" s="21"/>
      <c r="B23" s="21" t="str">
        <f>'NERACA SALDO'!B47</f>
        <v>Beban Transportasi</v>
      </c>
      <c r="C23" s="21"/>
      <c r="D23" s="21"/>
      <c r="E23" s="255"/>
      <c r="F23" s="255"/>
      <c r="G23" s="255"/>
      <c r="H23" s="256">
        <f ca="1">VLOOKUP(B23,'NERACA SALDO'!$B$6:$M$54,11,FALSE)</f>
        <v>250000</v>
      </c>
      <c r="I23" s="255"/>
      <c r="J23" s="255"/>
    </row>
    <row r="24" spans="1:10" x14ac:dyDescent="0.35">
      <c r="A24" s="21"/>
      <c r="B24" s="21" t="str">
        <f>'NERACA SALDO'!B48</f>
        <v>Beban Perawatan AC</v>
      </c>
      <c r="C24" s="21"/>
      <c r="D24" s="21"/>
      <c r="E24" s="255"/>
      <c r="F24" s="255"/>
      <c r="G24" s="255"/>
      <c r="H24" s="256">
        <f ca="1">VLOOKUP(B24,'NERACA SALDO'!$B$6:$M$54,11,FALSE)</f>
        <v>200000</v>
      </c>
      <c r="I24" s="255"/>
      <c r="J24" s="255"/>
    </row>
    <row r="25" spans="1:10" x14ac:dyDescent="0.35">
      <c r="A25" s="21"/>
      <c r="B25" s="21" t="str">
        <f>'NERACA SALDO'!B49</f>
        <v>Beban Perlengkapan Kantor</v>
      </c>
      <c r="C25" s="21"/>
      <c r="D25" s="21"/>
      <c r="E25" s="255"/>
      <c r="F25" s="255"/>
      <c r="G25" s="255"/>
      <c r="H25" s="256">
        <f ca="1">VLOOKUP(B25,'NERACA SALDO'!$B$6:$M$54,11,FALSE)</f>
        <v>50000</v>
      </c>
      <c r="I25" s="255"/>
      <c r="J25" s="255"/>
    </row>
    <row r="26" spans="1:10" x14ac:dyDescent="0.35">
      <c r="A26" s="21"/>
      <c r="B26" s="21" t="str">
        <f>'NERACA SALDO'!B50</f>
        <v>Beban Umum Lain-Lain</v>
      </c>
      <c r="C26" s="21"/>
      <c r="D26" s="21"/>
      <c r="E26" s="255"/>
      <c r="F26" s="255"/>
      <c r="G26" s="255"/>
      <c r="H26" s="256" t="e">
        <f>VLOOKUP(B26,'NERACA SALDO'!A6:M54,11,FALSE)</f>
        <v>#N/A</v>
      </c>
      <c r="I26" s="255"/>
      <c r="J26" s="255"/>
    </row>
    <row r="27" spans="1:10" x14ac:dyDescent="0.35">
      <c r="A27" s="139" t="s">
        <v>320</v>
      </c>
      <c r="B27" s="21"/>
      <c r="C27" s="21"/>
      <c r="D27" s="21"/>
      <c r="E27" s="255"/>
      <c r="F27" s="255"/>
      <c r="G27" s="255"/>
      <c r="H27" s="255"/>
      <c r="I27" s="256">
        <f ca="1">-SUM(H15:H25)</f>
        <v>-22162500</v>
      </c>
      <c r="J27" s="255"/>
    </row>
    <row r="28" spans="1:10" x14ac:dyDescent="0.35">
      <c r="A28" s="139" t="s">
        <v>321</v>
      </c>
      <c r="B28" s="21"/>
      <c r="C28" s="21"/>
      <c r="D28" s="21"/>
      <c r="E28" s="255"/>
      <c r="F28" s="255"/>
      <c r="G28" s="255"/>
      <c r="H28" s="255"/>
      <c r="I28" s="255"/>
      <c r="J28" s="255">
        <f ca="1">J13+I27</f>
        <v>3057500</v>
      </c>
    </row>
    <row r="29" spans="1:10" x14ac:dyDescent="0.35">
      <c r="A29" s="139" t="s">
        <v>322</v>
      </c>
      <c r="B29" s="21"/>
      <c r="C29" s="21"/>
      <c r="D29" s="21"/>
      <c r="E29" s="255"/>
      <c r="F29" s="255"/>
      <c r="G29" s="255"/>
      <c r="H29" s="255"/>
      <c r="I29" s="255"/>
      <c r="J29" s="255"/>
    </row>
    <row r="30" spans="1:10" x14ac:dyDescent="0.35">
      <c r="A30" s="21"/>
      <c r="B30" s="21" t="str">
        <f>'[1]NERACA SALDO'!B53</f>
        <v>Pendapatan Jasa Giro</v>
      </c>
      <c r="C30" s="21"/>
      <c r="D30" s="21"/>
      <c r="E30" s="255"/>
      <c r="F30" s="255"/>
      <c r="G30" s="255"/>
      <c r="H30" s="255">
        <f ca="1">VLOOKUP(B30,'NERACA SALDO'!$B$6:$M$54,12,FALSE)</f>
        <v>1350000</v>
      </c>
      <c r="I30" s="255"/>
      <c r="J30" s="255"/>
    </row>
    <row r="31" spans="1:10" x14ac:dyDescent="0.35">
      <c r="A31" s="21"/>
      <c r="B31" s="21" t="str">
        <f>'[1]NERACA SALDO'!B52</f>
        <v>Laba Penjualan Aktiva Tetap</v>
      </c>
      <c r="C31" s="21"/>
      <c r="D31" s="21"/>
      <c r="E31" s="255"/>
      <c r="F31" s="255"/>
      <c r="G31" s="255"/>
      <c r="H31" s="255">
        <f ca="1">VLOOKUP(B31,'NERACA SALDO'!$B$6:$M$54,12,FALSE)</f>
        <v>1000000</v>
      </c>
      <c r="I31" s="255"/>
      <c r="J31" s="255"/>
    </row>
    <row r="32" spans="1:10" x14ac:dyDescent="0.35">
      <c r="A32" s="139" t="s">
        <v>323</v>
      </c>
      <c r="B32" s="21"/>
      <c r="C32" s="21"/>
      <c r="D32" s="21"/>
      <c r="E32" s="255"/>
      <c r="F32" s="255"/>
      <c r="G32" s="255"/>
      <c r="H32" s="255"/>
      <c r="I32" s="255">
        <f ca="1">SUM(H30:H31)</f>
        <v>2350000</v>
      </c>
      <c r="J32" s="255"/>
    </row>
    <row r="33" spans="1:10" x14ac:dyDescent="0.35">
      <c r="A33" s="139" t="s">
        <v>324</v>
      </c>
      <c r="B33" s="21"/>
      <c r="C33" s="21"/>
      <c r="D33" s="21"/>
      <c r="E33" s="255"/>
      <c r="F33" s="255"/>
      <c r="G33" s="255"/>
      <c r="H33" s="255"/>
      <c r="I33" s="255"/>
      <c r="J33" s="255"/>
    </row>
    <row r="34" spans="1:10" x14ac:dyDescent="0.35">
      <c r="A34" s="21"/>
      <c r="B34" s="21" t="str">
        <f>'[1]NERACA SALDO'!B54</f>
        <v>Beban Administrasi Bank</v>
      </c>
      <c r="C34" s="21"/>
      <c r="D34" s="21"/>
      <c r="E34" s="255"/>
      <c r="F34" s="255"/>
      <c r="G34" s="255"/>
      <c r="H34" s="255">
        <f ca="1">VLOOKUP(B34,'NERACA SALDO'!B6:M54,11,FALSE)</f>
        <v>150000</v>
      </c>
      <c r="I34" s="255"/>
      <c r="J34" s="255"/>
    </row>
    <row r="35" spans="1:10" x14ac:dyDescent="0.35">
      <c r="A35" s="21"/>
      <c r="B35" s="21" t="str">
        <f>'[1]NERACA SALDO'!B55</f>
        <v>Beban Bunga</v>
      </c>
      <c r="C35" s="21"/>
      <c r="D35" s="21"/>
      <c r="E35" s="255"/>
      <c r="F35" s="255"/>
      <c r="G35" s="255"/>
      <c r="H35" s="255">
        <f ca="1">VLOOKUP(B35,'NERACA SALDO'!B7:M55,11,FALSE)</f>
        <v>1500000</v>
      </c>
      <c r="I35" s="255"/>
      <c r="J35" s="255"/>
    </row>
    <row r="36" spans="1:10" x14ac:dyDescent="0.35">
      <c r="A36" s="139" t="s">
        <v>325</v>
      </c>
      <c r="B36" s="21"/>
      <c r="C36" s="21"/>
      <c r="D36" s="21"/>
      <c r="E36" s="255"/>
      <c r="F36" s="255"/>
      <c r="G36" s="255"/>
      <c r="H36" s="255"/>
      <c r="I36" s="256">
        <f ca="1">-(H35+H34)</f>
        <v>-1650000</v>
      </c>
      <c r="J36" s="255"/>
    </row>
    <row r="37" spans="1:10" x14ac:dyDescent="0.35">
      <c r="A37" s="139" t="s">
        <v>326</v>
      </c>
      <c r="B37" s="21"/>
      <c r="C37" s="21"/>
      <c r="D37" s="21"/>
      <c r="E37" s="255"/>
      <c r="F37" s="255"/>
      <c r="G37" s="255"/>
      <c r="H37" s="255"/>
      <c r="I37" s="255"/>
      <c r="J37" s="255">
        <f ca="1">I32+I36</f>
        <v>700000</v>
      </c>
    </row>
    <row r="38" spans="1:10" x14ac:dyDescent="0.35">
      <c r="A38" s="139" t="s">
        <v>327</v>
      </c>
      <c r="B38" s="21"/>
      <c r="C38" s="21"/>
      <c r="D38" s="21"/>
      <c r="E38" s="255"/>
      <c r="F38" s="255"/>
      <c r="G38" s="255"/>
      <c r="H38" s="255"/>
      <c r="I38" s="255"/>
      <c r="J38" s="255">
        <f ca="1">SUM(J28:J37)</f>
        <v>3757500</v>
      </c>
    </row>
  </sheetData>
  <mergeCells count="4">
    <mergeCell ref="A3:E3"/>
    <mergeCell ref="A4:E4"/>
    <mergeCell ref="A1:J1"/>
    <mergeCell ref="A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workbookViewId="0">
      <selection activeCell="A2" sqref="A2:D2"/>
    </sheetView>
  </sheetViews>
  <sheetFormatPr defaultRowHeight="14.5" x14ac:dyDescent="0.35"/>
  <sheetData>
    <row r="1" spans="1:4" x14ac:dyDescent="0.35">
      <c r="A1" s="66" t="s">
        <v>18</v>
      </c>
      <c r="B1" s="66"/>
      <c r="C1" s="66"/>
      <c r="D1" s="66"/>
    </row>
    <row r="2" spans="1:4" x14ac:dyDescent="0.35">
      <c r="A2" s="66"/>
      <c r="B2" s="66"/>
      <c r="C2" s="66"/>
      <c r="D2" s="66"/>
    </row>
    <row r="3" spans="1:4" x14ac:dyDescent="0.35">
      <c r="A3" s="64"/>
      <c r="B3" s="64"/>
      <c r="C3" s="64"/>
      <c r="D3" s="64"/>
    </row>
    <row r="4" spans="1:4" x14ac:dyDescent="0.35">
      <c r="A4" s="65"/>
      <c r="B4" s="65"/>
      <c r="C4" s="65"/>
      <c r="D4" s="65"/>
    </row>
    <row r="5" spans="1:4" x14ac:dyDescent="0.35">
      <c r="A5" s="27" t="s">
        <v>51</v>
      </c>
      <c r="B5" s="27"/>
      <c r="C5" s="28" t="s">
        <v>52</v>
      </c>
      <c r="D5" s="30"/>
    </row>
    <row r="6" spans="1:4" x14ac:dyDescent="0.35">
      <c r="A6" s="24" t="s">
        <v>53</v>
      </c>
      <c r="B6" s="24"/>
      <c r="C6" s="25" t="s">
        <v>54</v>
      </c>
      <c r="D6" s="22"/>
    </row>
    <row r="7" spans="1:4" x14ac:dyDescent="0.35">
      <c r="A7" s="24" t="s">
        <v>55</v>
      </c>
      <c r="B7" s="24"/>
      <c r="C7" s="25" t="s">
        <v>56</v>
      </c>
      <c r="D7" s="22"/>
    </row>
    <row r="8" spans="1:4" x14ac:dyDescent="0.35">
      <c r="A8" s="23" t="s">
        <v>57</v>
      </c>
      <c r="B8" s="23"/>
      <c r="C8" s="26" t="s">
        <v>58</v>
      </c>
      <c r="D8" s="22"/>
    </row>
    <row r="9" spans="1:4" x14ac:dyDescent="0.35">
      <c r="A9" s="21"/>
      <c r="B9" s="21"/>
      <c r="C9" s="26" t="s">
        <v>59</v>
      </c>
      <c r="D9" s="22"/>
    </row>
    <row r="10" spans="1:4" x14ac:dyDescent="0.35">
      <c r="A10" s="21"/>
      <c r="B10" s="21"/>
      <c r="C10" s="29" t="s">
        <v>60</v>
      </c>
      <c r="D10" s="22"/>
    </row>
    <row r="11" spans="1:4" x14ac:dyDescent="0.35">
      <c r="A11" s="21"/>
      <c r="B11" s="21"/>
      <c r="C11" s="25" t="s">
        <v>61</v>
      </c>
      <c r="D11" s="22"/>
    </row>
    <row r="12" spans="1:4" x14ac:dyDescent="0.35">
      <c r="A12" s="21"/>
      <c r="B12" s="21"/>
      <c r="C12" s="26" t="s">
        <v>62</v>
      </c>
      <c r="D12" s="22"/>
    </row>
    <row r="13" spans="1:4" x14ac:dyDescent="0.35">
      <c r="A13" s="21"/>
      <c r="B13" s="21"/>
      <c r="C13" s="26" t="s">
        <v>63</v>
      </c>
      <c r="D13" s="22"/>
    </row>
  </sheetData>
  <mergeCells count="4">
    <mergeCell ref="A3:D3"/>
    <mergeCell ref="A4:D4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MASTER AKUN</vt:lpstr>
      <vt:lpstr>JURNAL UMUM</vt:lpstr>
      <vt:lpstr>BUKU BESAR</vt:lpstr>
      <vt:lpstr>BB PEMBANTU PIUTANG </vt:lpstr>
      <vt:lpstr>BB PEMBANTU PERSEDIAAN</vt:lpstr>
      <vt:lpstr>JURNAL PENYESUAIAN</vt:lpstr>
      <vt:lpstr>NERACA SALDO</vt:lpstr>
      <vt:lpstr>LABA RUGI</vt:lpstr>
      <vt:lpstr>LAPORAN POSISI KEUANGAN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Asus</cp:lastModifiedBy>
  <dcterms:created xsi:type="dcterms:W3CDTF">2020-12-04T12:53:45Z</dcterms:created>
  <dcterms:modified xsi:type="dcterms:W3CDTF">2021-02-02T02:38:38Z</dcterms:modified>
</cp:coreProperties>
</file>