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755"/>
  </bookViews>
  <sheets>
    <sheet name="MASTER AKUN" sheetId="1" r:id="rId1"/>
    <sheet name="JURNAL UMUM" sheetId="2" r:id="rId2"/>
    <sheet name=" BB PIUTANG" sheetId="3" r:id="rId3"/>
    <sheet name="BB HUTANG" sheetId="4" r:id="rId4"/>
    <sheet name="BB PERSEDIAAN" sheetId="5" r:id="rId5"/>
    <sheet name="BUKU BESAR" sheetId="6" r:id="rId6"/>
    <sheet name="NERACA SALDO" sheetId="7" r:id="rId7"/>
    <sheet name="LLR" sheetId="8" r:id="rId8"/>
    <sheet name="LAP.PERUBAHAN LABA DITAHAN" sheetId="9" r:id="rId9"/>
    <sheet name="LPK" sheetId="10" r:id="rId10"/>
  </sheets>
  <externalReferences>
    <externalReference r:id="rId11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8" i="6" l="1"/>
  <c r="H344" i="6" l="1"/>
  <c r="G344" i="6"/>
  <c r="C341" i="6"/>
  <c r="E54" i="6" l="1"/>
  <c r="E31" i="2"/>
  <c r="V39" i="5" l="1"/>
  <c r="X38" i="5"/>
  <c r="W38" i="5"/>
  <c r="P34" i="5"/>
  <c r="V30" i="5"/>
  <c r="X29" i="5"/>
  <c r="W29" i="5"/>
  <c r="P25" i="5"/>
  <c r="V21" i="5"/>
  <c r="X20" i="5"/>
  <c r="W20" i="5"/>
  <c r="P16" i="5"/>
  <c r="V12" i="5"/>
  <c r="X11" i="5"/>
  <c r="W11" i="5"/>
  <c r="P7" i="5"/>
  <c r="I48" i="5"/>
  <c r="K47" i="5"/>
  <c r="J47" i="5"/>
  <c r="C43" i="5"/>
  <c r="I39" i="5"/>
  <c r="K38" i="5"/>
  <c r="J38" i="5"/>
  <c r="C34" i="5"/>
  <c r="I30" i="5"/>
  <c r="K29" i="5"/>
  <c r="J29" i="5"/>
  <c r="C25" i="5"/>
  <c r="I21" i="5"/>
  <c r="K20" i="5"/>
  <c r="J20" i="5"/>
  <c r="C16" i="5"/>
  <c r="I12" i="5"/>
  <c r="L38" i="5" l="1"/>
  <c r="Y29" i="5"/>
  <c r="Y20" i="5"/>
  <c r="Y38" i="5"/>
  <c r="Y11" i="5"/>
  <c r="L47" i="5"/>
  <c r="L29" i="5"/>
  <c r="L20" i="5"/>
  <c r="K23" i="4" l="1"/>
  <c r="K22" i="4"/>
  <c r="K21" i="4"/>
  <c r="Q11" i="4"/>
  <c r="L7" i="4"/>
  <c r="K30" i="3"/>
  <c r="K29" i="3"/>
  <c r="H21" i="4"/>
  <c r="C17" i="4"/>
  <c r="P21" i="3"/>
  <c r="L17" i="3"/>
  <c r="P11" i="3"/>
  <c r="L7" i="3"/>
  <c r="G31" i="3"/>
  <c r="C27" i="3"/>
  <c r="G21" i="3"/>
  <c r="C17" i="3"/>
  <c r="N103" i="2"/>
  <c r="N102" i="2"/>
  <c r="N82" i="2"/>
  <c r="N81" i="2"/>
  <c r="N80" i="2"/>
  <c r="N73" i="2"/>
  <c r="N69" i="2"/>
  <c r="N68" i="2"/>
  <c r="N67" i="2"/>
  <c r="N61" i="2"/>
  <c r="N60" i="2"/>
  <c r="N59" i="2"/>
  <c r="N46" i="2"/>
  <c r="K30" i="2"/>
  <c r="K24" i="2"/>
  <c r="K23" i="2"/>
  <c r="N19" i="2"/>
  <c r="N18" i="2"/>
  <c r="E120" i="2"/>
  <c r="E10" i="2"/>
  <c r="F52" i="6" s="1"/>
  <c r="E11" i="2"/>
  <c r="E273" i="6" s="1"/>
  <c r="E12" i="2"/>
  <c r="F53" i="6" s="1"/>
  <c r="E13" i="2"/>
  <c r="E14" i="2"/>
  <c r="N70" i="6" s="1"/>
  <c r="E15" i="2"/>
  <c r="F331" i="6" s="1"/>
  <c r="E16" i="2"/>
  <c r="O48" i="6" s="1"/>
  <c r="E17" i="2"/>
  <c r="N92" i="6" s="1"/>
  <c r="E18" i="2"/>
  <c r="F138" i="6" s="1"/>
  <c r="E19" i="2"/>
  <c r="F139" i="6" s="1"/>
  <c r="E20" i="2"/>
  <c r="E69" i="6" s="1"/>
  <c r="E21" i="2"/>
  <c r="N71" i="6" s="1"/>
  <c r="E22" i="2"/>
  <c r="F94" i="6" s="1"/>
  <c r="E23" i="2"/>
  <c r="E140" i="6" s="1"/>
  <c r="E24" i="2"/>
  <c r="E25" i="2"/>
  <c r="E172" i="6" s="1"/>
  <c r="E26" i="2"/>
  <c r="F274" i="6" s="1"/>
  <c r="E27" i="2"/>
  <c r="E28" i="2"/>
  <c r="E275" i="6" s="1"/>
  <c r="E29" i="2"/>
  <c r="F173" i="6" s="1"/>
  <c r="E30" i="2"/>
  <c r="F142" i="6" s="1"/>
  <c r="E32" i="2"/>
  <c r="F70" i="6" s="1"/>
  <c r="E33" i="2"/>
  <c r="E55" i="6" s="1"/>
  <c r="E34" i="2"/>
  <c r="N72" i="6" s="1"/>
  <c r="E35" i="2"/>
  <c r="F95" i="6" s="1"/>
  <c r="E36" i="2"/>
  <c r="E71" i="6" s="1"/>
  <c r="E37" i="2"/>
  <c r="N73" i="6" s="1"/>
  <c r="E38" i="2"/>
  <c r="F96" i="6" s="1"/>
  <c r="E39" i="2"/>
  <c r="N125" i="6" s="1"/>
  <c r="E40" i="2"/>
  <c r="E174" i="6" s="1"/>
  <c r="E41" i="2"/>
  <c r="F322" i="6" s="1"/>
  <c r="E42" i="2"/>
  <c r="F72" i="6" s="1"/>
  <c r="E43" i="2"/>
  <c r="N61" i="6" s="1"/>
  <c r="E44" i="2"/>
  <c r="E332" i="6" s="1"/>
  <c r="E45" i="2"/>
  <c r="E46" i="2"/>
  <c r="E143" i="6" s="1"/>
  <c r="E47" i="2"/>
  <c r="O93" i="6" s="1"/>
  <c r="E48" i="2"/>
  <c r="E73" i="6" s="1"/>
  <c r="E49" i="2"/>
  <c r="F97" i="6" s="1"/>
  <c r="E50" i="2"/>
  <c r="N143" i="6" s="1"/>
  <c r="E51" i="2"/>
  <c r="N152" i="6" s="1"/>
  <c r="E52" i="2"/>
  <c r="F74" i="6" s="1"/>
  <c r="E53" i="2"/>
  <c r="E237" i="6" s="1"/>
  <c r="E54" i="2"/>
  <c r="F56" i="6" s="1"/>
  <c r="E55" i="2"/>
  <c r="E98" i="6" s="1"/>
  <c r="E56" i="2"/>
  <c r="O49" i="6" s="1"/>
  <c r="E57" i="2"/>
  <c r="F333" i="6" s="1"/>
  <c r="E58" i="2"/>
  <c r="N94" i="6" s="1"/>
  <c r="E59" i="2"/>
  <c r="F144" i="6" s="1"/>
  <c r="E60" i="2"/>
  <c r="F145" i="6" s="1"/>
  <c r="E61" i="2"/>
  <c r="F146" i="6" s="1"/>
  <c r="E62" i="2"/>
  <c r="E63" i="2"/>
  <c r="O50" i="6" s="1"/>
  <c r="E64" i="2"/>
  <c r="F334" i="6" s="1"/>
  <c r="E65" i="2"/>
  <c r="E75" i="6" s="1"/>
  <c r="E66" i="2"/>
  <c r="N95" i="6" s="1"/>
  <c r="E67" i="2"/>
  <c r="F147" i="6" s="1"/>
  <c r="E68" i="2"/>
  <c r="F148" i="6" s="1"/>
  <c r="E69" i="2"/>
  <c r="F149" i="6" s="1"/>
  <c r="E70" i="2"/>
  <c r="N62" i="6" s="1"/>
  <c r="E71" i="2"/>
  <c r="E335" i="6" s="1"/>
  <c r="E72" i="2"/>
  <c r="F100" i="6" s="1"/>
  <c r="E73" i="2"/>
  <c r="E150" i="6" s="1"/>
  <c r="E74" i="2"/>
  <c r="O96" i="6" s="1"/>
  <c r="E75" i="2"/>
  <c r="E76" i="6" s="1"/>
  <c r="E76" i="2"/>
  <c r="N74" i="6" s="1"/>
  <c r="E77" i="2"/>
  <c r="F336" i="6" s="1"/>
  <c r="E78" i="2"/>
  <c r="O51" i="6" s="1"/>
  <c r="E79" i="2"/>
  <c r="N97" i="6" s="1"/>
  <c r="E80" i="2"/>
  <c r="F151" i="6" s="1"/>
  <c r="E81" i="2"/>
  <c r="F152" i="6" s="1"/>
  <c r="E82" i="2"/>
  <c r="F153" i="6" s="1"/>
  <c r="E83" i="2"/>
  <c r="E129" i="6" s="1"/>
  <c r="E84" i="2"/>
  <c r="F57" i="6" s="1"/>
  <c r="E85" i="2"/>
  <c r="E276" i="6" s="1"/>
  <c r="E86" i="2"/>
  <c r="F58" i="6" s="1"/>
  <c r="E87" i="2"/>
  <c r="F77" i="6" s="1"/>
  <c r="E88" i="2"/>
  <c r="N179" i="6" s="1"/>
  <c r="E89" i="2"/>
  <c r="N188" i="6" s="1"/>
  <c r="E90" i="2"/>
  <c r="N197" i="6" s="1"/>
  <c r="E91" i="2"/>
  <c r="N206" i="6" s="1"/>
  <c r="E92" i="2"/>
  <c r="F59" i="6" s="1"/>
  <c r="E93" i="2"/>
  <c r="E23" i="6" s="1"/>
  <c r="E94" i="2"/>
  <c r="E246" i="6" s="1"/>
  <c r="E95" i="2"/>
  <c r="F238" i="6" s="1"/>
  <c r="E96" i="2"/>
  <c r="O233" i="6" s="1"/>
  <c r="E97" i="2"/>
  <c r="E24" i="6" s="1"/>
  <c r="E98" i="2"/>
  <c r="F337" i="6" s="1"/>
  <c r="E99" i="2"/>
  <c r="F285" i="6" s="1"/>
  <c r="E100" i="2"/>
  <c r="O52" i="6" s="1"/>
  <c r="E101" i="2"/>
  <c r="N98" i="6" s="1"/>
  <c r="E102" i="2"/>
  <c r="F154" i="6" s="1"/>
  <c r="E103" i="2"/>
  <c r="F155" i="6" s="1"/>
  <c r="E104" i="2"/>
  <c r="E25" i="6" s="1"/>
  <c r="E105" i="2"/>
  <c r="E106" i="2"/>
  <c r="N116" i="6" s="1"/>
  <c r="E107" i="2"/>
  <c r="F313" i="6" s="1"/>
  <c r="E108" i="2"/>
  <c r="F60" i="6" s="1"/>
  <c r="E109" i="2"/>
  <c r="N161" i="6" s="1"/>
  <c r="E110" i="2"/>
  <c r="N170" i="6" s="1"/>
  <c r="E111" i="2"/>
  <c r="F219" i="6" s="1"/>
  <c r="E112" i="2"/>
  <c r="F247" i="6" s="1"/>
  <c r="E113" i="2"/>
  <c r="N269" i="6" s="1"/>
  <c r="E114" i="2"/>
  <c r="F295" i="6" s="1"/>
  <c r="E115" i="2"/>
  <c r="N134" i="6" s="1"/>
  <c r="E116" i="2"/>
  <c r="F111" i="6" s="1"/>
  <c r="E117" i="2"/>
  <c r="N260" i="6" s="1"/>
  <c r="E118" i="2"/>
  <c r="E61" i="6" s="1"/>
  <c r="E119" i="2"/>
  <c r="O242" i="6" s="1"/>
  <c r="H108" i="2"/>
  <c r="H98" i="2"/>
  <c r="G97" i="2" s="1"/>
  <c r="H96" i="2"/>
  <c r="H92" i="2"/>
  <c r="H77" i="2"/>
  <c r="G75" i="2" s="1"/>
  <c r="G66" i="2"/>
  <c r="H64" i="2"/>
  <c r="G58" i="2"/>
  <c r="H57" i="2"/>
  <c r="H54" i="2"/>
  <c r="H52" i="2"/>
  <c r="H41" i="2"/>
  <c r="H29" i="2"/>
  <c r="H16" i="2"/>
  <c r="G118" i="2"/>
  <c r="G101" i="2"/>
  <c r="G79" i="2"/>
  <c r="G71" i="2"/>
  <c r="H72" i="2" s="1"/>
  <c r="G62" i="2"/>
  <c r="G55" i="2"/>
  <c r="G48" i="2"/>
  <c r="G44" i="2"/>
  <c r="H45" i="2" s="1"/>
  <c r="G40" i="2"/>
  <c r="G37" i="2"/>
  <c r="G36" i="2" s="1"/>
  <c r="G34" i="2"/>
  <c r="G33" i="2" s="1"/>
  <c r="G28" i="2"/>
  <c r="G25" i="2"/>
  <c r="H26" i="2" s="1"/>
  <c r="G20" i="2"/>
  <c r="G17" i="2"/>
  <c r="E111" i="6" l="1"/>
  <c r="E99" i="6"/>
  <c r="G121" i="2"/>
  <c r="H42" i="2"/>
  <c r="H121" i="2" s="1"/>
  <c r="E9" i="2" l="1"/>
  <c r="G9" i="7" l="1"/>
  <c r="G13" i="7"/>
  <c r="G17" i="7"/>
  <c r="G21" i="7"/>
  <c r="G25" i="7"/>
  <c r="G29" i="7"/>
  <c r="G33" i="7"/>
  <c r="G37" i="7"/>
  <c r="G41" i="7"/>
  <c r="G45" i="7"/>
  <c r="G49" i="7"/>
  <c r="G53" i="7"/>
  <c r="F12" i="7"/>
  <c r="F16" i="7"/>
  <c r="F20" i="7"/>
  <c r="F24" i="7"/>
  <c r="F28" i="7"/>
  <c r="F32" i="7"/>
  <c r="F36" i="7"/>
  <c r="F40" i="7"/>
  <c r="F44" i="7"/>
  <c r="F48" i="7"/>
  <c r="F52" i="7"/>
  <c r="F37" i="7"/>
  <c r="F45" i="7"/>
  <c r="F53" i="7"/>
  <c r="G20" i="7"/>
  <c r="G28" i="7"/>
  <c r="G40" i="7"/>
  <c r="G52" i="7"/>
  <c r="F15" i="7"/>
  <c r="F27" i="7"/>
  <c r="F35" i="7"/>
  <c r="F47" i="7"/>
  <c r="G10" i="7"/>
  <c r="G14" i="7"/>
  <c r="G18" i="7"/>
  <c r="G22" i="7"/>
  <c r="G26" i="7"/>
  <c r="G30" i="7"/>
  <c r="G34" i="7"/>
  <c r="G38" i="7"/>
  <c r="G42" i="7"/>
  <c r="G46" i="7"/>
  <c r="G50" i="7"/>
  <c r="F9" i="7"/>
  <c r="F13" i="7"/>
  <c r="F17" i="7"/>
  <c r="F21" i="7"/>
  <c r="F25" i="7"/>
  <c r="F29" i="7"/>
  <c r="F33" i="7"/>
  <c r="F41" i="7"/>
  <c r="F49" i="7"/>
  <c r="G16" i="7"/>
  <c r="G32" i="7"/>
  <c r="G44" i="7"/>
  <c r="F11" i="7"/>
  <c r="F23" i="7"/>
  <c r="F39" i="7"/>
  <c r="F51" i="7"/>
  <c r="G11" i="7"/>
  <c r="G15" i="7"/>
  <c r="G19" i="7"/>
  <c r="G23" i="7"/>
  <c r="G27" i="7"/>
  <c r="G31" i="7"/>
  <c r="G35" i="7"/>
  <c r="G39" i="7"/>
  <c r="G43" i="7"/>
  <c r="G47" i="7"/>
  <c r="G51" i="7"/>
  <c r="F10" i="7"/>
  <c r="F14" i="7"/>
  <c r="F18" i="7"/>
  <c r="F22" i="7"/>
  <c r="F26" i="7"/>
  <c r="F30" i="7"/>
  <c r="F34" i="7"/>
  <c r="F38" i="7"/>
  <c r="F42" i="7"/>
  <c r="F46" i="7"/>
  <c r="F50" i="7"/>
  <c r="G8" i="7"/>
  <c r="G12" i="7"/>
  <c r="G24" i="7"/>
  <c r="G36" i="7"/>
  <c r="G48" i="7"/>
  <c r="F19" i="7"/>
  <c r="F31" i="7"/>
  <c r="F43" i="7"/>
  <c r="F8" i="7"/>
  <c r="E183" i="6"/>
  <c r="F22" i="6"/>
  <c r="E21" i="6"/>
  <c r="F34" i="6"/>
  <c r="E34" i="6"/>
  <c r="T30" i="5"/>
  <c r="U30" i="5" s="1"/>
  <c r="S21" i="5"/>
  <c r="Q12" i="5"/>
  <c r="G39" i="5"/>
  <c r="H39" i="5" s="1"/>
  <c r="F30" i="5"/>
  <c r="D21" i="5"/>
  <c r="S12" i="5"/>
  <c r="T39" i="5"/>
  <c r="U39" i="5" s="1"/>
  <c r="S30" i="5"/>
  <c r="Q21" i="5"/>
  <c r="G48" i="5"/>
  <c r="H48" i="5" s="1"/>
  <c r="F39" i="5"/>
  <c r="D30" i="5"/>
  <c r="T21" i="5"/>
  <c r="U21" i="5" s="1"/>
  <c r="D48" i="5"/>
  <c r="J48" i="5" s="1"/>
  <c r="F21" i="5"/>
  <c r="S39" i="5"/>
  <c r="Q30" i="5"/>
  <c r="T12" i="5"/>
  <c r="U12" i="5" s="1"/>
  <c r="F48" i="5"/>
  <c r="D39" i="5"/>
  <c r="G21" i="5"/>
  <c r="H21" i="5" s="1"/>
  <c r="Q39" i="5"/>
  <c r="G30" i="5"/>
  <c r="H30" i="5" s="1"/>
  <c r="G12" i="5"/>
  <c r="H12" i="5" s="1"/>
  <c r="D12" i="5"/>
  <c r="F12" i="5"/>
  <c r="N12" i="4"/>
  <c r="N22" i="3"/>
  <c r="N12" i="3"/>
  <c r="E32" i="3"/>
  <c r="E22" i="3"/>
  <c r="E12" i="3"/>
  <c r="O12" i="4"/>
  <c r="O22" i="3"/>
  <c r="F22" i="3"/>
  <c r="F22" i="4"/>
  <c r="F12" i="4"/>
  <c r="F32" i="3"/>
  <c r="E22" i="4"/>
  <c r="E12" i="4"/>
  <c r="O12" i="3"/>
  <c r="F12" i="3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8" i="7"/>
  <c r="B47" i="7"/>
  <c r="B48" i="7"/>
  <c r="B49" i="7"/>
  <c r="B50" i="7"/>
  <c r="B51" i="7"/>
  <c r="B52" i="7"/>
  <c r="B53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8" i="7"/>
  <c r="H50" i="7" l="1"/>
  <c r="H46" i="7"/>
  <c r="K26" i="8" s="1"/>
  <c r="H42" i="7"/>
  <c r="K22" i="8" s="1"/>
  <c r="H38" i="7"/>
  <c r="K18" i="8" s="1"/>
  <c r="H34" i="7"/>
  <c r="H30" i="7"/>
  <c r="H26" i="7"/>
  <c r="H18" i="7"/>
  <c r="I20" i="10" s="1"/>
  <c r="H14" i="7"/>
  <c r="I14" i="10" s="1"/>
  <c r="H10" i="7"/>
  <c r="I10" i="10" s="1"/>
  <c r="I52" i="7"/>
  <c r="I48" i="7"/>
  <c r="I44" i="7"/>
  <c r="I40" i="7"/>
  <c r="I36" i="7"/>
  <c r="I32" i="7"/>
  <c r="I28" i="7"/>
  <c r="I34" i="10" s="1"/>
  <c r="I24" i="7"/>
  <c r="I31" i="10" s="1"/>
  <c r="I20" i="7"/>
  <c r="I16" i="7"/>
  <c r="I12" i="7"/>
  <c r="E12" i="5"/>
  <c r="W39" i="5"/>
  <c r="H22" i="7"/>
  <c r="H22" i="4"/>
  <c r="L22" i="4" s="1"/>
  <c r="J39" i="5"/>
  <c r="J30" i="5"/>
  <c r="F54" i="7"/>
  <c r="H47" i="7"/>
  <c r="K27" i="8" s="1"/>
  <c r="H43" i="7"/>
  <c r="K23" i="8" s="1"/>
  <c r="H23" i="7"/>
  <c r="H15" i="7"/>
  <c r="I15" i="10" s="1"/>
  <c r="H11" i="7"/>
  <c r="I11" i="10" s="1"/>
  <c r="I53" i="7"/>
  <c r="I49" i="7"/>
  <c r="I45" i="7"/>
  <c r="I41" i="7"/>
  <c r="I29" i="7"/>
  <c r="I38" i="10" s="1"/>
  <c r="I25" i="7"/>
  <c r="I21" i="7"/>
  <c r="I23" i="10" s="1"/>
  <c r="I13" i="7"/>
  <c r="I13" i="10" s="1"/>
  <c r="I9" i="7"/>
  <c r="P12" i="4"/>
  <c r="D54" i="7"/>
  <c r="H8" i="7"/>
  <c r="H53" i="7"/>
  <c r="K41" i="8" s="1"/>
  <c r="H49" i="7"/>
  <c r="K29" i="8" s="1"/>
  <c r="H45" i="7"/>
  <c r="K25" i="8" s="1"/>
  <c r="H41" i="7"/>
  <c r="K21" i="8" s="1"/>
  <c r="H37" i="7"/>
  <c r="K13" i="8" s="1"/>
  <c r="H33" i="7"/>
  <c r="H29" i="7"/>
  <c r="H25" i="7"/>
  <c r="H21" i="7"/>
  <c r="H17" i="7"/>
  <c r="H13" i="7"/>
  <c r="H9" i="7"/>
  <c r="I9" i="10" s="1"/>
  <c r="I51" i="7"/>
  <c r="K36" i="8" s="1"/>
  <c r="I47" i="7"/>
  <c r="I43" i="7"/>
  <c r="I39" i="7"/>
  <c r="I35" i="7"/>
  <c r="I31" i="7"/>
  <c r="H7" i="9" s="1"/>
  <c r="I27" i="7"/>
  <c r="I33" i="10" s="1"/>
  <c r="I23" i="7"/>
  <c r="I30" i="10" s="1"/>
  <c r="I19" i="7"/>
  <c r="I21" i="10" s="1"/>
  <c r="I15" i="7"/>
  <c r="I11" i="7"/>
  <c r="Q12" i="4"/>
  <c r="L23" i="4" s="1"/>
  <c r="P12" i="3"/>
  <c r="W30" i="5"/>
  <c r="W21" i="5"/>
  <c r="J21" i="5"/>
  <c r="R21" i="5"/>
  <c r="Y21" i="5"/>
  <c r="R12" i="5"/>
  <c r="Y12" i="5"/>
  <c r="W12" i="5"/>
  <c r="G32" i="3"/>
  <c r="G54" i="7"/>
  <c r="H52" i="7"/>
  <c r="K40" i="8" s="1"/>
  <c r="H48" i="7"/>
  <c r="K28" i="8" s="1"/>
  <c r="H44" i="7"/>
  <c r="K24" i="8" s="1"/>
  <c r="H40" i="7"/>
  <c r="K20" i="8" s="1"/>
  <c r="H36" i="7"/>
  <c r="K8" i="8" s="1"/>
  <c r="H32" i="7"/>
  <c r="H28" i="7"/>
  <c r="H24" i="7"/>
  <c r="H20" i="7"/>
  <c r="I22" i="10" s="1"/>
  <c r="H16" i="7"/>
  <c r="I16" i="10" s="1"/>
  <c r="H12" i="7"/>
  <c r="I12" i="10" s="1"/>
  <c r="E54" i="7"/>
  <c r="I8" i="7"/>
  <c r="I50" i="7"/>
  <c r="K35" i="8" s="1"/>
  <c r="I46" i="7"/>
  <c r="I42" i="7"/>
  <c r="I38" i="7"/>
  <c r="I34" i="7"/>
  <c r="L6" i="8" s="1"/>
  <c r="I30" i="7"/>
  <c r="I43" i="10" s="1"/>
  <c r="I26" i="7"/>
  <c r="I32" i="10" s="1"/>
  <c r="I22" i="7"/>
  <c r="I29" i="10" s="1"/>
  <c r="I18" i="7"/>
  <c r="I14" i="7"/>
  <c r="I10" i="7"/>
  <c r="P22" i="3"/>
  <c r="R39" i="5"/>
  <c r="Y39" i="5"/>
  <c r="X39" i="5" s="1"/>
  <c r="R30" i="5"/>
  <c r="Y30" i="5"/>
  <c r="E30" i="5"/>
  <c r="L30" i="5"/>
  <c r="K30" i="5" s="1"/>
  <c r="H51" i="7"/>
  <c r="H39" i="7"/>
  <c r="K19" i="8" s="1"/>
  <c r="H35" i="7"/>
  <c r="K7" i="8" s="1"/>
  <c r="H31" i="7"/>
  <c r="I12" i="9" s="1"/>
  <c r="H27" i="7"/>
  <c r="H19" i="7"/>
  <c r="I37" i="7"/>
  <c r="I33" i="7"/>
  <c r="I17" i="7"/>
  <c r="G22" i="4"/>
  <c r="G22" i="3"/>
  <c r="L30" i="3" s="1"/>
  <c r="E48" i="5"/>
  <c r="L48" i="5"/>
  <c r="K48" i="5" s="1"/>
  <c r="E21" i="5"/>
  <c r="L21" i="5"/>
  <c r="E39" i="5"/>
  <c r="L39" i="5"/>
  <c r="K39" i="5" s="1"/>
  <c r="Q268" i="6"/>
  <c r="Q259" i="6"/>
  <c r="Q250" i="6"/>
  <c r="Q241" i="6"/>
  <c r="Q232" i="6"/>
  <c r="Q223" i="6"/>
  <c r="Q214" i="6"/>
  <c r="Q205" i="6"/>
  <c r="Q196" i="6"/>
  <c r="Q187" i="6"/>
  <c r="Q178" i="6"/>
  <c r="Q169" i="6"/>
  <c r="Q160" i="6"/>
  <c r="Q151" i="6"/>
  <c r="Q142" i="6"/>
  <c r="Q133" i="6"/>
  <c r="Q124" i="6"/>
  <c r="Q115" i="6"/>
  <c r="Q106" i="6"/>
  <c r="Q91" i="6"/>
  <c r="Q82" i="6"/>
  <c r="Q69" i="6"/>
  <c r="Q47" i="6"/>
  <c r="Q38" i="6"/>
  <c r="Q29" i="6"/>
  <c r="Q20" i="6"/>
  <c r="Q21" i="6" s="1"/>
  <c r="Q11" i="6"/>
  <c r="H371" i="6"/>
  <c r="H362" i="6"/>
  <c r="H353" i="6"/>
  <c r="H330" i="6"/>
  <c r="H321" i="6"/>
  <c r="H312" i="6"/>
  <c r="H303" i="6"/>
  <c r="H294" i="6"/>
  <c r="H284" i="6"/>
  <c r="H272" i="6"/>
  <c r="H263" i="6"/>
  <c r="H254" i="6"/>
  <c r="H245" i="6"/>
  <c r="H236" i="6"/>
  <c r="H227" i="6"/>
  <c r="H218" i="6"/>
  <c r="H209" i="6"/>
  <c r="H200" i="6"/>
  <c r="H191" i="6"/>
  <c r="H182" i="6"/>
  <c r="H171" i="6"/>
  <c r="H162" i="6"/>
  <c r="H137" i="6"/>
  <c r="H128" i="6"/>
  <c r="H119" i="6"/>
  <c r="H110" i="6"/>
  <c r="H93" i="6"/>
  <c r="H84" i="6"/>
  <c r="H68" i="6"/>
  <c r="H51" i="6"/>
  <c r="H42" i="6"/>
  <c r="H33" i="6"/>
  <c r="H20" i="6"/>
  <c r="H11" i="6"/>
  <c r="P268" i="6"/>
  <c r="P269" i="6" s="1"/>
  <c r="L264" i="6"/>
  <c r="P259" i="6"/>
  <c r="L255" i="6"/>
  <c r="P250" i="6"/>
  <c r="L246" i="6"/>
  <c r="P241" i="6"/>
  <c r="L237" i="6"/>
  <c r="P232" i="6"/>
  <c r="L228" i="6"/>
  <c r="P223" i="6"/>
  <c r="L219" i="6"/>
  <c r="P214" i="6"/>
  <c r="L210" i="6"/>
  <c r="P205" i="6"/>
  <c r="P206" i="6" s="1"/>
  <c r="L201" i="6"/>
  <c r="P196" i="6"/>
  <c r="P197" i="6" s="1"/>
  <c r="L192" i="6"/>
  <c r="P187" i="6"/>
  <c r="L183" i="6"/>
  <c r="P178" i="6"/>
  <c r="L174" i="6"/>
  <c r="P169" i="6"/>
  <c r="P170" i="6" s="1"/>
  <c r="L165" i="6"/>
  <c r="P160" i="6"/>
  <c r="P161" i="6" s="1"/>
  <c r="L156" i="6"/>
  <c r="P151" i="6"/>
  <c r="L147" i="6"/>
  <c r="P142" i="6"/>
  <c r="P133" i="6"/>
  <c r="P134" i="6" s="1"/>
  <c r="L129" i="6"/>
  <c r="P124" i="6"/>
  <c r="P125" i="6" s="1"/>
  <c r="L120" i="6"/>
  <c r="P115" i="6"/>
  <c r="L111" i="6"/>
  <c r="P106" i="6"/>
  <c r="L102" i="6"/>
  <c r="P91" i="6"/>
  <c r="P92" i="6" s="1"/>
  <c r="P93" i="6" s="1"/>
  <c r="P94" i="6" s="1"/>
  <c r="P95" i="6" s="1"/>
  <c r="L87" i="6"/>
  <c r="N96" i="6" s="1"/>
  <c r="P82" i="6"/>
  <c r="L78" i="6"/>
  <c r="P69" i="6"/>
  <c r="L65" i="6"/>
  <c r="P60" i="6"/>
  <c r="P61" i="6" s="1"/>
  <c r="P62" i="6" s="1"/>
  <c r="L56" i="6"/>
  <c r="P47" i="6"/>
  <c r="L43" i="6"/>
  <c r="P38" i="6"/>
  <c r="L34" i="6"/>
  <c r="P29" i="6"/>
  <c r="L25" i="6"/>
  <c r="P20" i="6"/>
  <c r="L16" i="6"/>
  <c r="P11" i="6"/>
  <c r="L7" i="6"/>
  <c r="G371" i="6"/>
  <c r="C367" i="6"/>
  <c r="G362" i="6"/>
  <c r="C358" i="6"/>
  <c r="G353" i="6"/>
  <c r="C349" i="6"/>
  <c r="G330" i="6"/>
  <c r="C326" i="6"/>
  <c r="G321" i="6"/>
  <c r="C317" i="6"/>
  <c r="G312" i="6"/>
  <c r="C308" i="6"/>
  <c r="G303" i="6"/>
  <c r="C299" i="6"/>
  <c r="G294" i="6"/>
  <c r="C290" i="6"/>
  <c r="G284" i="6"/>
  <c r="C280" i="6"/>
  <c r="G272" i="6"/>
  <c r="C268" i="6"/>
  <c r="G263" i="6"/>
  <c r="C259" i="6"/>
  <c r="G254" i="6"/>
  <c r="C250" i="6"/>
  <c r="G245" i="6"/>
  <c r="C241" i="6"/>
  <c r="G236" i="6"/>
  <c r="C232" i="6"/>
  <c r="G227" i="6"/>
  <c r="C223" i="6"/>
  <c r="G218" i="6"/>
  <c r="C214" i="6"/>
  <c r="G209" i="6"/>
  <c r="C205" i="6"/>
  <c r="G200" i="6"/>
  <c r="C196" i="6"/>
  <c r="G191" i="6"/>
  <c r="C187" i="6"/>
  <c r="G182" i="6"/>
  <c r="C178" i="6"/>
  <c r="G171" i="6"/>
  <c r="G172" i="6" s="1"/>
  <c r="G173" i="6" s="1"/>
  <c r="G174" i="6" s="1"/>
  <c r="C167" i="6"/>
  <c r="G162" i="6"/>
  <c r="C158" i="6"/>
  <c r="G137" i="6"/>
  <c r="C133" i="6"/>
  <c r="E141" i="6" s="1"/>
  <c r="G128" i="6"/>
  <c r="C124" i="6"/>
  <c r="G119" i="6"/>
  <c r="C115" i="6"/>
  <c r="G110" i="6"/>
  <c r="C106" i="6"/>
  <c r="G93" i="6"/>
  <c r="C89" i="6"/>
  <c r="G84" i="6"/>
  <c r="C80" i="6"/>
  <c r="G68" i="6"/>
  <c r="G69" i="6" s="1"/>
  <c r="G70" i="6" s="1"/>
  <c r="G71" i="6" s="1"/>
  <c r="G72" i="6" s="1"/>
  <c r="G73" i="6" s="1"/>
  <c r="G74" i="6" s="1"/>
  <c r="G75" i="6" s="1"/>
  <c r="G76" i="6" s="1"/>
  <c r="G77" i="6" s="1"/>
  <c r="C64" i="6"/>
  <c r="G51" i="6"/>
  <c r="C47" i="6"/>
  <c r="G42" i="6"/>
  <c r="C38" i="6"/>
  <c r="G33" i="6"/>
  <c r="C29" i="6"/>
  <c r="G20" i="6"/>
  <c r="G21" i="6" s="1"/>
  <c r="C16" i="6"/>
  <c r="E22" i="6" s="1"/>
  <c r="G11" i="6"/>
  <c r="C7" i="6"/>
  <c r="C7" i="5"/>
  <c r="J11" i="5"/>
  <c r="K11" i="5"/>
  <c r="K21" i="5" l="1"/>
  <c r="X21" i="5"/>
  <c r="L11" i="5"/>
  <c r="P70" i="6"/>
  <c r="P71" i="6" s="1"/>
  <c r="P72" i="6" s="1"/>
  <c r="P73" i="6" s="1"/>
  <c r="P74" i="6" s="1"/>
  <c r="P116" i="6"/>
  <c r="P179" i="6"/>
  <c r="G138" i="6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P143" i="6"/>
  <c r="G94" i="6"/>
  <c r="G95" i="6" s="1"/>
  <c r="G96" i="6" s="1"/>
  <c r="G97" i="6" s="1"/>
  <c r="G98" i="6" s="1"/>
  <c r="G99" i="6" s="1"/>
  <c r="G100" i="6" s="1"/>
  <c r="X30" i="5"/>
  <c r="I54" i="7"/>
  <c r="X12" i="5"/>
  <c r="I8" i="10"/>
  <c r="H54" i="7"/>
  <c r="P96" i="6"/>
  <c r="P97" i="6" s="1"/>
  <c r="P98" i="6" s="1"/>
  <c r="P152" i="6"/>
  <c r="P188" i="6"/>
  <c r="P260" i="6"/>
  <c r="Q242" i="6"/>
  <c r="Q233" i="6"/>
  <c r="Q48" i="6"/>
  <c r="Q49" i="6" s="1"/>
  <c r="Q50" i="6" s="1"/>
  <c r="Q51" i="6" s="1"/>
  <c r="Q52" i="6" s="1"/>
  <c r="H331" i="6"/>
  <c r="H332" i="6" s="1"/>
  <c r="H333" i="6" s="1"/>
  <c r="H334" i="6" s="1"/>
  <c r="H335" i="6" s="1"/>
  <c r="H336" i="6" s="1"/>
  <c r="H337" i="6" s="1"/>
  <c r="H295" i="6"/>
  <c r="H313" i="6"/>
  <c r="H285" i="6"/>
  <c r="H322" i="6"/>
  <c r="H273" i="6"/>
  <c r="H274" i="6" s="1"/>
  <c r="H275" i="6" s="1"/>
  <c r="H276" i="6" s="1"/>
  <c r="H219" i="6"/>
  <c r="G183" i="6"/>
  <c r="G237" i="6"/>
  <c r="G238" i="6" s="1"/>
  <c r="H246" i="6"/>
  <c r="H247" i="6" s="1"/>
  <c r="G111" i="6"/>
  <c r="G129" i="6"/>
  <c r="H111" i="6"/>
  <c r="G52" i="6"/>
  <c r="G53" i="6" s="1"/>
  <c r="G54" i="6" s="1"/>
  <c r="G55" i="6" s="1"/>
  <c r="G56" i="6" s="1"/>
  <c r="G57" i="6" s="1"/>
  <c r="G58" i="6" s="1"/>
  <c r="G59" i="6" s="1"/>
  <c r="G60" i="6" s="1"/>
  <c r="G61" i="6" s="1"/>
  <c r="G22" i="6"/>
  <c r="G23" i="6" s="1"/>
  <c r="G24" i="6" s="1"/>
  <c r="G25" i="6" s="1"/>
  <c r="J12" i="5"/>
  <c r="L12" i="5" l="1"/>
  <c r="K12" i="5" s="1"/>
  <c r="H11" i="4"/>
  <c r="C7" i="4"/>
  <c r="G11" i="3"/>
  <c r="G12" i="3" s="1"/>
  <c r="C7" i="3"/>
  <c r="L29" i="3" l="1"/>
  <c r="L33" i="3" s="1"/>
  <c r="H12" i="4"/>
  <c r="L21" i="4" s="1"/>
  <c r="L25" i="4" s="1"/>
  <c r="G12" i="4"/>
  <c r="L10" i="1"/>
  <c r="L11" i="1"/>
  <c r="L12" i="1"/>
  <c r="L13" i="1"/>
  <c r="L14" i="1"/>
  <c r="L15" i="1"/>
  <c r="L16" i="1"/>
  <c r="L17" i="1"/>
  <c r="L9" i="1"/>
  <c r="E73" i="1"/>
  <c r="D73" i="1"/>
  <c r="G163" i="6" l="1"/>
  <c r="G34" i="6"/>
  <c r="G228" i="6"/>
  <c r="H228" i="6" s="1"/>
  <c r="L14" i="8" l="1"/>
  <c r="L9" i="8"/>
  <c r="L10" i="8" s="1"/>
  <c r="M15" i="8" l="1"/>
  <c r="L37" i="8"/>
  <c r="L42" i="8"/>
  <c r="M30" i="8"/>
  <c r="M31" i="8" l="1"/>
  <c r="M43" i="8"/>
  <c r="M45" i="8" l="1"/>
  <c r="J39" i="10" l="1"/>
  <c r="K45" i="10" l="1"/>
  <c r="J35" i="10"/>
  <c r="K40" i="10" s="1"/>
  <c r="L46" i="10" l="1"/>
  <c r="J24" i="10"/>
  <c r="J17" i="10"/>
  <c r="L25" i="10" l="1"/>
</calcChain>
</file>

<file path=xl/sharedStrings.xml><?xml version="1.0" encoding="utf-8"?>
<sst xmlns="http://schemas.openxmlformats.org/spreadsheetml/2006/main" count="1657" uniqueCount="331">
  <si>
    <t>DAFTAR NAMA ACCOUNT PT FADALI FURNITUR</t>
  </si>
  <si>
    <t>NO AKUN</t>
  </si>
  <si>
    <t>NAMA AKUN</t>
  </si>
  <si>
    <t>REF</t>
  </si>
  <si>
    <t>DEBIT</t>
  </si>
  <si>
    <t>KREDIT</t>
  </si>
  <si>
    <t>AKTIVA</t>
  </si>
  <si>
    <t>AKTIVA LANCAR</t>
  </si>
  <si>
    <t>KAS</t>
  </si>
  <si>
    <t>Kas Di Tangan</t>
  </si>
  <si>
    <t>Kas Kecil</t>
  </si>
  <si>
    <t>Bank</t>
  </si>
  <si>
    <t>Bank BCA</t>
  </si>
  <si>
    <t>Bank Mandiri</t>
  </si>
  <si>
    <t>PIUTANG USAHA BERSIH</t>
  </si>
  <si>
    <t xml:space="preserve">Piutang Usaha </t>
  </si>
  <si>
    <t>Cadangan Piutang Tak Tertagih</t>
  </si>
  <si>
    <t>PIUTANG LAIN-LAIN</t>
  </si>
  <si>
    <t>Piutang Karyawan</t>
  </si>
  <si>
    <t>PERSEDIAAN BARANG DAGANGAN</t>
  </si>
  <si>
    <t>PEMBAYARAN DI MUKA</t>
  </si>
  <si>
    <t>PPN Masukan</t>
  </si>
  <si>
    <t>Uang Muka Pembelian</t>
  </si>
  <si>
    <t>AKTIVA TETAP</t>
  </si>
  <si>
    <t>NILAI BUKU PERALATAN KANTOR</t>
  </si>
  <si>
    <t>Peralatan Kantor</t>
  </si>
  <si>
    <t>Akumulasi Penyusutan Peralatan Kantor</t>
  </si>
  <si>
    <t>NILAI BUKU KENDARAAN</t>
  </si>
  <si>
    <t>Kendaraan</t>
  </si>
  <si>
    <t>Akumulasi Penyusutan Kendaraan</t>
  </si>
  <si>
    <t>KEWAJIBAN</t>
  </si>
  <si>
    <t>KEWAJIBAN LANCAR</t>
  </si>
  <si>
    <t>Hutang Usaha</t>
  </si>
  <si>
    <t>Pendapatan Diterima Di Muka-Jasa Kirim</t>
  </si>
  <si>
    <t>Hutang Bunga</t>
  </si>
  <si>
    <t>Hutang Pajak</t>
  </si>
  <si>
    <t>Utang PPh Pasal 21</t>
  </si>
  <si>
    <t>Utang PPh Pasal 4</t>
  </si>
  <si>
    <t>PPN Keluaran</t>
  </si>
  <si>
    <t>KEWAJIBAN JANGKA PANJANG</t>
  </si>
  <si>
    <t>Hutang Bank Mandiri</t>
  </si>
  <si>
    <t>EKUITAS</t>
  </si>
  <si>
    <t>Modal Saham</t>
  </si>
  <si>
    <t>Laba Ditahan Periode Lalu</t>
  </si>
  <si>
    <t>Laba Ditahan Periode Berjalan</t>
  </si>
  <si>
    <t>Perkiraan Penyeimbang</t>
  </si>
  <si>
    <t>PENJUALAN BERSIH</t>
  </si>
  <si>
    <t>Penjualan</t>
  </si>
  <si>
    <t>Retur Penjualan</t>
  </si>
  <si>
    <t>Potongan Penjualan</t>
  </si>
  <si>
    <t>HARGA POKOK</t>
  </si>
  <si>
    <t>Harga Pokok Penjualan</t>
  </si>
  <si>
    <t>BEBAN USAHA</t>
  </si>
  <si>
    <t>Beban Gaji Karyawan</t>
  </si>
  <si>
    <t>Beban Sewa</t>
  </si>
  <si>
    <t>Beban Piutang Tak Tertagih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</si>
  <si>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</si>
  <si>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</si>
  <si>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</si>
  <si>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</si>
  <si>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</si>
  <si>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</si>
  <si>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</si>
  <si>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</si>
  <si>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Lain-Lain</t>
  </si>
  <si>
    <t>PENDAPATAN LUAR USAHA</t>
  </si>
  <si>
    <t>Laba Penjualan Aktiva Tetap</t>
  </si>
  <si>
    <t>Pendapatan Jasa Giro</t>
  </si>
  <si>
    <t>BEBAN LUAR USAHA</t>
  </si>
  <si>
    <t>Beban Administrasi Bank</t>
  </si>
  <si>
    <t>Beban Bunga</t>
  </si>
  <si>
    <t>TOTAL</t>
  </si>
  <si>
    <t>DAFTAR PRODUK DAN SALDO AWAL PERSEDIAAN</t>
  </si>
  <si>
    <t>Kode Produk</t>
  </si>
  <si>
    <t>Nama Produk</t>
  </si>
  <si>
    <t>Kuantitas</t>
  </si>
  <si>
    <t>Harga Per unit</t>
  </si>
  <si>
    <t>P01</t>
  </si>
  <si>
    <t>QUEEN C405</t>
  </si>
  <si>
    <t>P02</t>
  </si>
  <si>
    <t>QUEEN C605</t>
  </si>
  <si>
    <t>P03</t>
  </si>
  <si>
    <t>STONES C109</t>
  </si>
  <si>
    <t>P04</t>
  </si>
  <si>
    <t>STONES C303</t>
  </si>
  <si>
    <t>P05</t>
  </si>
  <si>
    <t>EBIET D708</t>
  </si>
  <si>
    <t>P06</t>
  </si>
  <si>
    <t>EBIET D908</t>
  </si>
  <si>
    <t>P07</t>
  </si>
  <si>
    <t>TAMERLAND L1</t>
  </si>
  <si>
    <t>P08</t>
  </si>
  <si>
    <t>TAMERLAND L2</t>
  </si>
  <si>
    <t>P09</t>
  </si>
  <si>
    <t>TAMERLAND L3</t>
  </si>
  <si>
    <t>Jumlah</t>
  </si>
  <si>
    <t xml:space="preserve">DAFTAR SALDO PIUTANG </t>
  </si>
  <si>
    <t>Kode Pelanggan</t>
  </si>
  <si>
    <t>Saldo Piutang</t>
  </si>
  <si>
    <t>C01</t>
  </si>
  <si>
    <t>PT. GUNUNG AGUNG</t>
  </si>
  <si>
    <t>C02</t>
  </si>
  <si>
    <t>TOKO BUKU UTAMA</t>
  </si>
  <si>
    <t>C03</t>
  </si>
  <si>
    <t>CV MEBEL ABADI</t>
  </si>
  <si>
    <t>C04</t>
  </si>
  <si>
    <t>CV SEMBILAN SEMBILAN</t>
  </si>
  <si>
    <t>C05</t>
  </si>
  <si>
    <t>Penjualan Counter</t>
  </si>
  <si>
    <t>Nama Pelanggan</t>
  </si>
  <si>
    <t>Keterangan</t>
  </si>
  <si>
    <t>DAFTAR SALDO HUTANG</t>
  </si>
  <si>
    <t>Kode Pemasok</t>
  </si>
  <si>
    <t>Nama Pemasok</t>
  </si>
  <si>
    <t>S01</t>
  </si>
  <si>
    <t>CV USAHA MAJU</t>
  </si>
  <si>
    <t>S02</t>
  </si>
  <si>
    <t>PT KARYA BERSAMA</t>
  </si>
  <si>
    <t>S03</t>
  </si>
  <si>
    <t>UD BERSAUDARA</t>
  </si>
  <si>
    <t>1 Januari 2006,2/10 n/30</t>
  </si>
  <si>
    <t>1 Januari 2006,3/10 n/30</t>
  </si>
  <si>
    <t>1 Januari 2006,5/10 n/50</t>
  </si>
  <si>
    <t>JURNAL UMUM</t>
  </si>
  <si>
    <t>PT FADALI FURNITUR</t>
  </si>
  <si>
    <t>No. Acc</t>
  </si>
  <si>
    <t>Tanggal</t>
  </si>
  <si>
    <t>No. Bukti</t>
  </si>
  <si>
    <t>R/F</t>
  </si>
  <si>
    <t>Debit</t>
  </si>
  <si>
    <t>Kredit</t>
  </si>
  <si>
    <t>Kode Persediaan</t>
  </si>
  <si>
    <t>QTTY</t>
  </si>
  <si>
    <t xml:space="preserve">Harga </t>
  </si>
  <si>
    <t>Harga</t>
  </si>
  <si>
    <t>ALAT BANTU PERSEDIAAN</t>
  </si>
  <si>
    <t>PENERIMAAN</t>
  </si>
  <si>
    <t>PENGELUARAN</t>
  </si>
  <si>
    <t>BUKU BANTU PIUTANG</t>
  </si>
  <si>
    <t>Periode Januari 2006</t>
  </si>
  <si>
    <t>KODE PELANGGAN :</t>
  </si>
  <si>
    <t>NAMA PELANGGAN :</t>
  </si>
  <si>
    <t>Tgl</t>
  </si>
  <si>
    <t>Uraian/Keterangan</t>
  </si>
  <si>
    <t>Saldo</t>
  </si>
  <si>
    <t>SALDO AWAL</t>
  </si>
  <si>
    <t>BUKU BANTU UTANG</t>
  </si>
  <si>
    <t>BUKU BANTU PERSEDIAAN</t>
  </si>
  <si>
    <t>TANGGAL</t>
  </si>
  <si>
    <t>KETERANGAN</t>
  </si>
  <si>
    <t>RF</t>
  </si>
  <si>
    <t>SALDO</t>
  </si>
  <si>
    <t>HARGA</t>
  </si>
  <si>
    <t>JUMLAH</t>
  </si>
  <si>
    <t>KODE PERSEDIAAN :</t>
  </si>
  <si>
    <t>NAMA PERSEDIAAN:</t>
  </si>
  <si>
    <t>01/KK/01/06</t>
  </si>
  <si>
    <t>01/J/01/06</t>
  </si>
  <si>
    <t>01/KM/01/06</t>
  </si>
  <si>
    <t>01/B/01/06</t>
  </si>
  <si>
    <t>01/NK/01/06</t>
  </si>
  <si>
    <t>02/KK/01/06</t>
  </si>
  <si>
    <t>02/KM/01/06</t>
  </si>
  <si>
    <t>03/KM/01/06</t>
  </si>
  <si>
    <t>03/KK/01/06</t>
  </si>
  <si>
    <t xml:space="preserve">BUKU BESAR </t>
  </si>
  <si>
    <t>KODE AKUN</t>
  </si>
  <si>
    <t>01/PO/01/06</t>
  </si>
  <si>
    <t>01/NR/01/06</t>
  </si>
  <si>
    <t>04/KM/01/06</t>
  </si>
  <si>
    <t>04/KK/01/06</t>
  </si>
  <si>
    <t>05/KK/01/06</t>
  </si>
  <si>
    <t>02/J/01/06</t>
  </si>
  <si>
    <t>03/J/01/06</t>
  </si>
  <si>
    <t>02/NR/01/06</t>
  </si>
  <si>
    <t>04/J/01/06</t>
  </si>
  <si>
    <t>06/KK/01/06</t>
  </si>
  <si>
    <t>07/KK/01/06</t>
  </si>
  <si>
    <t>08/KK/01/06</t>
  </si>
  <si>
    <t>05/KM/01/06</t>
  </si>
  <si>
    <t>05/J/01/06</t>
  </si>
  <si>
    <t>06/KM/01/06</t>
  </si>
  <si>
    <t>09/KK/01/06</t>
  </si>
  <si>
    <t>01/BM/01/06</t>
  </si>
  <si>
    <t>02/BM/01/06</t>
  </si>
  <si>
    <t>03/BM/01/06</t>
  </si>
  <si>
    <t>04/BM/01/06</t>
  </si>
  <si>
    <t>NO-AKUN</t>
  </si>
  <si>
    <t>Ref</t>
  </si>
  <si>
    <t>NERACA SALDO AWAL</t>
  </si>
  <si>
    <t>MUTASI</t>
  </si>
  <si>
    <t>NERACA SALDO AKHIR</t>
  </si>
  <si>
    <t>NERACA SALDO</t>
  </si>
  <si>
    <t>REKAPITULASI PIUTANG</t>
  </si>
  <si>
    <t>KODE</t>
  </si>
  <si>
    <t>NAMA PELANGGAN</t>
  </si>
  <si>
    <t>JUMLAH PIUTANG</t>
  </si>
  <si>
    <t>NAMA PEMASOK</t>
  </si>
  <si>
    <t>JUMLAH HUTANG</t>
  </si>
  <si>
    <t>REKAPITULASI HUTANG</t>
  </si>
  <si>
    <t>Penerimaan kas</t>
  </si>
  <si>
    <t>Pengeluaran Kas</t>
  </si>
  <si>
    <t>Pembayaran uang muka</t>
  </si>
  <si>
    <t>Pelunasan Hutang</t>
  </si>
  <si>
    <t>Pemindahbukuan</t>
  </si>
  <si>
    <t>Pelunasan Piutang</t>
  </si>
  <si>
    <t>Pembelian Motor Honda</t>
  </si>
  <si>
    <t>Pinjaman Karyawan</t>
  </si>
  <si>
    <t>Pembayaran Hutang</t>
  </si>
  <si>
    <t>Pembayaran Beban-beban</t>
  </si>
  <si>
    <t>Pembayaran Gaji Karyawan</t>
  </si>
  <si>
    <t>Rekonsiliasi Bank</t>
  </si>
  <si>
    <t>Pembayaran Sewa Ruangan</t>
  </si>
  <si>
    <t>Pembayaran beban-beban</t>
  </si>
  <si>
    <t>Pembayaran Uang Muka</t>
  </si>
  <si>
    <t>Penerimaan Tagihan</t>
  </si>
  <si>
    <t>Penjualan  Barang</t>
  </si>
  <si>
    <t>Retur Barang</t>
  </si>
  <si>
    <t>Untuk Periode yang Berakhir Pada Januari 2006</t>
  </si>
  <si>
    <t>PENJUALAN</t>
  </si>
  <si>
    <t xml:space="preserve">Penjualan  </t>
  </si>
  <si>
    <t xml:space="preserve">Retur Penjualan </t>
  </si>
  <si>
    <t xml:space="preserve">Potongan Penjualan </t>
  </si>
  <si>
    <t>JUMLAH POTONGAN &amp; RETUR PENJUALAN</t>
  </si>
  <si>
    <t xml:space="preserve">Harga Pokok Penjualan </t>
  </si>
  <si>
    <t>JUMLAH HARGA POKOK PENJUALAN</t>
  </si>
  <si>
    <t>LABA KOTOR PENJUALAN</t>
  </si>
  <si>
    <t xml:space="preserve">Beban Usaha </t>
  </si>
  <si>
    <t xml:space="preserve">Beban Gaji Karyawan </t>
  </si>
  <si>
    <t xml:space="preserve">Beban Sewa </t>
  </si>
  <si>
    <t xml:space="preserve">Beban Piutang Tak Tertagih </t>
  </si>
  <si>
    <t xml:space="preserve">Beban Penyusutan Peralatan Kantor </t>
  </si>
  <si>
    <t xml:space="preserve">Beban Penyusutan Kendaraan </t>
  </si>
  <si>
    <t xml:space="preserve">Beban Pemasaran </t>
  </si>
  <si>
    <t xml:space="preserve">Beban Transportasi </t>
  </si>
  <si>
    <t xml:space="preserve">Beban Perlengkapan  Kantor </t>
  </si>
  <si>
    <t xml:space="preserve">Beban Umum Lain-lain </t>
  </si>
  <si>
    <t>JUMLAH BEBAN USAHA</t>
  </si>
  <si>
    <t>LABA SEBELUM PENDAPATAN &amp; BEBAN DILUAR USAHA</t>
  </si>
  <si>
    <t>PENDAPATAN &amp; BEBAN DILUAR USAHA</t>
  </si>
  <si>
    <t xml:space="preserve">PENDAPATAN LUAR USAHA </t>
  </si>
  <si>
    <t xml:space="preserve">Laba Penjualan Aktiva Tetap </t>
  </si>
  <si>
    <t xml:space="preserve">Pendapatan Jasa Giro </t>
  </si>
  <si>
    <t>JUMLAH PENDAPATAN DILUAR USAHA</t>
  </si>
  <si>
    <t xml:space="preserve">BEBAN LUAR USAHA </t>
  </si>
  <si>
    <t xml:space="preserve">Beban Bunga </t>
  </si>
  <si>
    <t>JUMLAH BEBAN DILUAR USAHA</t>
  </si>
  <si>
    <t>JUMLAH PENDAPATAN &amp; BEBAN DILUAR USAHA</t>
  </si>
  <si>
    <t>LABA BERSIH SEBELUM PAJAK</t>
  </si>
  <si>
    <t>LAPORAN LABA RUGI</t>
  </si>
  <si>
    <t>LAPORAN PERUBAHAN LABA DITAHAN</t>
  </si>
  <si>
    <t>Untuk Periode Yang Berakhir Pada Januari 2006</t>
  </si>
  <si>
    <t>LABA DITAHAN AWAL PERIODE</t>
  </si>
  <si>
    <t xml:space="preserve">Laba Ditahan Periode Lalu </t>
  </si>
  <si>
    <t>PENGURANGAN :</t>
  </si>
  <si>
    <t>LABA DITAHAN AKHIR PERIODE</t>
  </si>
  <si>
    <t>LAPORAN POSISI KEUANGAN</t>
  </si>
  <si>
    <t xml:space="preserve">AKTIVA </t>
  </si>
  <si>
    <t xml:space="preserve">Kas Di tangan </t>
  </si>
  <si>
    <t xml:space="preserve">Kas Kecil </t>
  </si>
  <si>
    <t xml:space="preserve">Bank BCA </t>
  </si>
  <si>
    <t xml:space="preserve">Piutang Usaha  </t>
  </si>
  <si>
    <t xml:space="preserve">Cadangan Piutang Tak Tertagih </t>
  </si>
  <si>
    <t xml:space="preserve">Piutang Karyawan </t>
  </si>
  <si>
    <t xml:space="preserve">PERSEDIAAN BARANG DAGANGAN </t>
  </si>
  <si>
    <t xml:space="preserve">PPN Masukan </t>
  </si>
  <si>
    <t>JUMLAH AKTIVA LANCAR</t>
  </si>
  <si>
    <t xml:space="preserve">AKTIVA TETAP </t>
  </si>
  <si>
    <t xml:space="preserve">Peralatan Kantor </t>
  </si>
  <si>
    <t xml:space="preserve">Akumulasi Penyusutan Peralatan Kantor </t>
  </si>
  <si>
    <t xml:space="preserve">Kendaraan </t>
  </si>
  <si>
    <t xml:space="preserve">Akumulasi Penyusutan Kendaraan </t>
  </si>
  <si>
    <t>JUMLAH AKTIVA TETAP</t>
  </si>
  <si>
    <t>TOTAL AKTIVA</t>
  </si>
  <si>
    <t>PASIVA</t>
  </si>
  <si>
    <t>KEWAJIBAN JANGKA PENDEK</t>
  </si>
  <si>
    <t xml:space="preserve">Hutang Usaha </t>
  </si>
  <si>
    <t xml:space="preserve">Pendapatan Diterima Dimuka Jasa Kirim </t>
  </si>
  <si>
    <t xml:space="preserve">Hutang Bunga </t>
  </si>
  <si>
    <t xml:space="preserve">PPN Keluaran </t>
  </si>
  <si>
    <t>JUMLAH KEWAJIBAN JANGKA PENDEK</t>
  </si>
  <si>
    <t xml:space="preserve">KEWAJIBAN JANGKA PANJANG </t>
  </si>
  <si>
    <t xml:space="preserve">Hutang Bank Mandiri </t>
  </si>
  <si>
    <t>JUMLAH KEWAJIBAN JANGKA PANJANG</t>
  </si>
  <si>
    <t>JUMLAH KEWAJIBAN</t>
  </si>
  <si>
    <t xml:space="preserve">EKUITAS </t>
  </si>
  <si>
    <t xml:space="preserve">Modal Saham </t>
  </si>
  <si>
    <t>JUMLAH EKUITAS</t>
  </si>
  <si>
    <t>TOTAL PASIVA</t>
  </si>
  <si>
    <t>Periode 31 Januari 2006</t>
  </si>
  <si>
    <t>Periode januari 2006</t>
  </si>
  <si>
    <t>PT. FADALI FURNITUR</t>
  </si>
  <si>
    <t>Penagihan Piutang dagang</t>
  </si>
  <si>
    <t>Penjualan barang dagang</t>
  </si>
  <si>
    <t>Pembelian barang dagang</t>
  </si>
  <si>
    <t>Ppn 10%</t>
  </si>
  <si>
    <t>Akumulasi penyusutan</t>
  </si>
  <si>
    <t>Pembelian motor honda supra fit</t>
  </si>
  <si>
    <t>Penjualan kendaraan motor</t>
  </si>
  <si>
    <t>Pelunasan hutang usaha</t>
  </si>
  <si>
    <t>tagihan hutang usaha</t>
  </si>
  <si>
    <t>Ongkos kirim</t>
  </si>
  <si>
    <t>pinjaman dari bank mandiri</t>
  </si>
  <si>
    <t>bukti potong pph pasal 21</t>
  </si>
  <si>
    <t>bukti potong pph pasal 4 10%</t>
  </si>
  <si>
    <t>ppn 10%</t>
  </si>
  <si>
    <t>retur barang queen c605</t>
  </si>
  <si>
    <t>retur barang stones c109</t>
  </si>
  <si>
    <t>diskon 5% untuk queen c605</t>
  </si>
  <si>
    <t>diskon 3% dari cv sembilan</t>
  </si>
  <si>
    <t>diskon 2% dari toko buku utama</t>
  </si>
  <si>
    <t>diskon 2% dari pt gunung agung</t>
  </si>
  <si>
    <t xml:space="preserve">diskon 5% dijual kepada cv mebel </t>
  </si>
  <si>
    <t>Harga pokok penjualan</t>
  </si>
  <si>
    <t xml:space="preserve"> gaji karyawan bulan januari 2006</t>
  </si>
  <si>
    <t>Sewa ruangan bulan januari 2006</t>
  </si>
  <si>
    <t>Piutang dagang tidak tertagih</t>
  </si>
  <si>
    <t>Rekening listrik desember2005</t>
  </si>
  <si>
    <t>Rekening telpon 2005</t>
  </si>
  <si>
    <t>penyusutan untuk peralatan kantor</t>
  </si>
  <si>
    <t>Penyusutan untuk kendaraan</t>
  </si>
  <si>
    <t>Beban pemasaran</t>
  </si>
  <si>
    <t>Beban transportasi</t>
  </si>
  <si>
    <t>Beban perawatan ac</t>
  </si>
  <si>
    <t>Beban perlengkapan kantor</t>
  </si>
  <si>
    <t>Laba penjualan aktiva tetap</t>
  </si>
  <si>
    <t>Pendapatan jasa</t>
  </si>
  <si>
    <t>biaya adiministrasi bank</t>
  </si>
  <si>
    <t>bunga 12%pertahun dari bank mandiri</t>
  </si>
  <si>
    <t>Npm: 1712120125</t>
  </si>
  <si>
    <t>Nama: Umar Khadafi Alkaff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</si>
</sst>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(&quot;Rp&quot;* #,##0_);_(&quot;Rp&quot;* \(#,##0\);_(&quot;Rp&quot;* &quot;-&quot;_);_(@_)"/>
    <numFmt numFmtId="165" formatCode="_-&quot;Rp&quot;* #,##0_-;\-&quot;Rp&quot;* #,##0_-;_-&quot;Rp&quot;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theme="0"/>
      <name val="Calibri"/>
      <family val="2"/>
      <charset val="1"/>
      <scheme val="minor"/>
    </font>
    <font>
      <u val="double"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2" borderId="2" xfId="0" applyFill="1" applyBorder="1"/>
    <xf numFmtId="0" fontId="0" fillId="2" borderId="3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164" fontId="0" fillId="0" borderId="0" xfId="0" applyNumberFormat="1"/>
    <xf numFmtId="0" fontId="0" fillId="0" borderId="1" xfId="1" applyNumberFormat="1" applyFont="1" applyBorder="1"/>
    <xf numFmtId="0" fontId="2" fillId="2" borderId="1" xfId="0" applyFont="1" applyFill="1" applyBorder="1"/>
    <xf numFmtId="0" fontId="2" fillId="2" borderId="1" xfId="1" applyNumberFormat="1" applyFont="1" applyFill="1" applyBorder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0" fillId="0" borderId="5" xfId="0" applyBorder="1"/>
    <xf numFmtId="0" fontId="2" fillId="2" borderId="6" xfId="0" applyFont="1" applyFill="1" applyBorder="1"/>
    <xf numFmtId="0" fontId="2" fillId="2" borderId="7" xfId="0" applyFont="1" applyFill="1" applyBorder="1"/>
    <xf numFmtId="164" fontId="0" fillId="0" borderId="1" xfId="1" applyNumberFormat="1" applyFont="1" applyFill="1" applyBorder="1"/>
    <xf numFmtId="164" fontId="2" fillId="2" borderId="7" xfId="1" applyNumberFormat="1" applyFont="1" applyFill="1" applyBorder="1"/>
    <xf numFmtId="164" fontId="0" fillId="0" borderId="5" xfId="0" applyNumberFormat="1" applyBorder="1"/>
    <xf numFmtId="0" fontId="2" fillId="2" borderId="8" xfId="1" applyNumberFormat="1" applyFont="1" applyFill="1" applyBorder="1"/>
    <xf numFmtId="164" fontId="0" fillId="0" borderId="5" xfId="1" applyNumberFormat="1" applyFont="1" applyBorder="1"/>
    <xf numFmtId="0" fontId="2" fillId="2" borderId="7" xfId="1" applyNumberFormat="1" applyFont="1" applyFill="1" applyBorder="1"/>
    <xf numFmtId="0" fontId="2" fillId="2" borderId="9" xfId="1" applyNumberFormat="1" applyFont="1" applyFill="1" applyBorder="1"/>
    <xf numFmtId="0" fontId="2" fillId="0" borderId="0" xfId="0" applyFont="1"/>
    <xf numFmtId="0" fontId="0" fillId="3" borderId="1" xfId="0" applyFill="1" applyBorder="1"/>
    <xf numFmtId="0" fontId="2" fillId="3" borderId="1" xfId="0" applyFont="1" applyFill="1" applyBorder="1"/>
    <xf numFmtId="164" fontId="0" fillId="3" borderId="1" xfId="0" applyNumberFormat="1" applyFill="1" applyBorder="1"/>
    <xf numFmtId="165" fontId="0" fillId="0" borderId="0" xfId="1" applyNumberFormat="1" applyFont="1"/>
    <xf numFmtId="165" fontId="0" fillId="3" borderId="1" xfId="1" applyNumberFormat="1" applyFont="1" applyFill="1" applyBorder="1"/>
    <xf numFmtId="164" fontId="0" fillId="3" borderId="1" xfId="1" applyNumberFormat="1" applyFont="1" applyFill="1" applyBorder="1"/>
    <xf numFmtId="0" fontId="0" fillId="3" borderId="0" xfId="0" applyFill="1"/>
    <xf numFmtId="0" fontId="0" fillId="0" borderId="0" xfId="0" applyAlignment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164" fontId="2" fillId="2" borderId="10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0" borderId="0" xfId="0" applyBorder="1"/>
    <xf numFmtId="14" fontId="0" fillId="0" borderId="1" xfId="0" applyNumberFormat="1" applyBorder="1"/>
    <xf numFmtId="0" fontId="0" fillId="0" borderId="19" xfId="0" applyBorder="1"/>
    <xf numFmtId="14" fontId="0" fillId="0" borderId="5" xfId="0" applyNumberFormat="1" applyBorder="1"/>
    <xf numFmtId="41" fontId="0" fillId="0" borderId="1" xfId="1" applyFont="1" applyBorder="1"/>
    <xf numFmtId="41" fontId="0" fillId="0" borderId="19" xfId="1" applyFont="1" applyBorder="1"/>
    <xf numFmtId="41" fontId="0" fillId="0" borderId="5" xfId="1" applyFont="1" applyBorder="1"/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Font="1" applyBorder="1" applyAlignment="1">
      <alignment horizontal="center"/>
    </xf>
    <xf numFmtId="14" fontId="0" fillId="3" borderId="1" xfId="0" applyNumberFormat="1" applyFill="1" applyBorder="1"/>
    <xf numFmtId="164" fontId="0" fillId="3" borderId="0" xfId="0" applyNumberFormat="1" applyFill="1" applyBorder="1"/>
    <xf numFmtId="14" fontId="0" fillId="0" borderId="0" xfId="0" applyNumberFormat="1" applyBorder="1"/>
    <xf numFmtId="0" fontId="0" fillId="3" borderId="0" xfId="0" applyFill="1" applyBorder="1"/>
    <xf numFmtId="164" fontId="2" fillId="2" borderId="22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8" xfId="0" applyBorder="1"/>
    <xf numFmtId="0" fontId="4" fillId="0" borderId="25" xfId="0" applyFont="1" applyBorder="1" applyAlignment="1">
      <alignment horizontal="center"/>
    </xf>
    <xf numFmtId="0" fontId="2" fillId="0" borderId="0" xfId="0" applyFont="1" applyBorder="1"/>
    <xf numFmtId="0" fontId="0" fillId="0" borderId="26" xfId="0" applyBorder="1"/>
    <xf numFmtId="0" fontId="5" fillId="0" borderId="25" xfId="0" applyFont="1" applyBorder="1" applyAlignment="1">
      <alignment horizontal="center"/>
    </xf>
    <xf numFmtId="0" fontId="0" fillId="0" borderId="0" xfId="0" applyFont="1" applyBorder="1"/>
    <xf numFmtId="0" fontId="2" fillId="0" borderId="0" xfId="0" applyFont="1" applyFill="1" applyBorder="1"/>
    <xf numFmtId="0" fontId="6" fillId="0" borderId="0" xfId="0" applyFont="1" applyBorder="1"/>
    <xf numFmtId="0" fontId="3" fillId="0" borderId="0" xfId="0" applyFont="1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2" fillId="0" borderId="28" xfId="0" applyFont="1" applyBorder="1"/>
    <xf numFmtId="0" fontId="0" fillId="0" borderId="29" xfId="0" applyBorder="1"/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0" fillId="2" borderId="25" xfId="0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/>
    <xf numFmtId="0" fontId="0" fillId="2" borderId="29" xfId="0" applyFill="1" applyBorder="1"/>
    <xf numFmtId="0" fontId="2" fillId="2" borderId="23" xfId="0" applyFont="1" applyFill="1" applyBorder="1"/>
    <xf numFmtId="0" fontId="2" fillId="2" borderId="8" xfId="0" applyFont="1" applyFill="1" applyBorder="1"/>
    <xf numFmtId="0" fontId="2" fillId="2" borderId="27" xfId="0" applyFont="1" applyFill="1" applyBorder="1"/>
    <xf numFmtId="0" fontId="2" fillId="2" borderId="29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164" fontId="2" fillId="2" borderId="37" xfId="0" applyNumberFormat="1" applyFont="1" applyFill="1" applyBorder="1"/>
    <xf numFmtId="0" fontId="0" fillId="0" borderId="38" xfId="0" applyBorder="1"/>
    <xf numFmtId="41" fontId="0" fillId="0" borderId="37" xfId="1" applyFont="1" applyBorder="1"/>
    <xf numFmtId="41" fontId="0" fillId="0" borderId="39" xfId="1" applyFont="1" applyBorder="1"/>
    <xf numFmtId="41" fontId="0" fillId="0" borderId="40" xfId="1" applyFont="1" applyBorder="1"/>
    <xf numFmtId="0" fontId="0" fillId="0" borderId="1" xfId="0" applyNumberFormat="1" applyBorder="1"/>
    <xf numFmtId="0" fontId="0" fillId="0" borderId="41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1" fontId="0" fillId="0" borderId="10" xfId="1" applyFont="1" applyBorder="1"/>
    <xf numFmtId="41" fontId="0" fillId="0" borderId="22" xfId="1" applyFont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165" fontId="2" fillId="2" borderId="1" xfId="1" applyNumberFormat="1" applyFont="1" applyFill="1" applyBorder="1"/>
    <xf numFmtId="164" fontId="2" fillId="2" borderId="1" xfId="1" applyNumberFormat="1" applyFont="1" applyFill="1" applyBorder="1"/>
    <xf numFmtId="0" fontId="0" fillId="0" borderId="0" xfId="0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64" fontId="0" fillId="0" borderId="19" xfId="1" applyNumberFormat="1" applyFont="1" applyBorder="1"/>
    <xf numFmtId="164" fontId="0" fillId="0" borderId="10" xfId="1" applyNumberFormat="1" applyFont="1" applyBorder="1"/>
    <xf numFmtId="164" fontId="2" fillId="0" borderId="1" xfId="0" applyNumberFormat="1" applyFont="1" applyBorder="1"/>
    <xf numFmtId="164" fontId="0" fillId="0" borderId="24" xfId="0" applyNumberFormat="1" applyBorder="1"/>
    <xf numFmtId="164" fontId="0" fillId="0" borderId="0" xfId="0" applyNumberFormat="1" applyBorder="1"/>
    <xf numFmtId="164" fontId="0" fillId="0" borderId="0" xfId="1" applyNumberFormat="1" applyFont="1" applyBorder="1"/>
    <xf numFmtId="164" fontId="0" fillId="0" borderId="28" xfId="0" applyNumberFormat="1" applyBorder="1"/>
    <xf numFmtId="164" fontId="2" fillId="0" borderId="30" xfId="1" applyNumberFormat="1" applyFont="1" applyBorder="1"/>
    <xf numFmtId="164" fontId="2" fillId="0" borderId="0" xfId="1" applyNumberFormat="1" applyFont="1" applyBorder="1"/>
    <xf numFmtId="164" fontId="2" fillId="0" borderId="0" xfId="0" applyNumberFormat="1" applyFont="1" applyBorder="1"/>
    <xf numFmtId="164" fontId="2" fillId="0" borderId="28" xfId="0" applyNumberFormat="1" applyFont="1" applyBorder="1"/>
    <xf numFmtId="164" fontId="0" fillId="0" borderId="0" xfId="1" applyNumberFormat="1" applyFont="1" applyBorder="1" applyAlignment="1"/>
    <xf numFmtId="164" fontId="0" fillId="2" borderId="28" xfId="0" applyNumberFormat="1" applyFill="1" applyBorder="1"/>
    <xf numFmtId="164" fontId="2" fillId="2" borderId="28" xfId="0" applyNumberFormat="1" applyFont="1" applyFill="1" applyBorder="1"/>
    <xf numFmtId="164" fontId="0" fillId="2" borderId="0" xfId="0" applyNumberFormat="1" applyFill="1" applyBorder="1"/>
    <xf numFmtId="164" fontId="2" fillId="0" borderId="30" xfId="0" applyNumberFormat="1" applyFont="1" applyBorder="1"/>
    <xf numFmtId="164" fontId="2" fillId="2" borderId="0" xfId="0" applyNumberFormat="1" applyFont="1" applyFill="1" applyBorder="1"/>
    <xf numFmtId="164" fontId="2" fillId="2" borderId="3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43" xfId="0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DILA%20AYU%20PUTRI-%201912128022P-%203AK-P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AKUN"/>
      <sheetName val="JURNAL UMUM"/>
      <sheetName val="BB PIUTANG"/>
      <sheetName val="BB HUTANG"/>
      <sheetName val="BB PERSEDIAAN"/>
      <sheetName val="BUKU BESAR"/>
      <sheetName val="NERACA SALDO"/>
      <sheetName val="INCOME STATEMENT"/>
      <sheetName val="LAP. PERUBAHAN LABA DITAHAN"/>
      <sheetName val="LAP. POSISI KEUANGAN"/>
    </sheetNames>
    <sheetDataSet>
      <sheetData sheetId="0">
        <row r="6">
          <cell r="F6" t="str">
            <v>S01</v>
          </cell>
          <cell r="G6" t="str">
            <v>CV USAHA MAJU</v>
          </cell>
        </row>
        <row r="7">
          <cell r="F7" t="str">
            <v>S02</v>
          </cell>
          <cell r="G7" t="str">
            <v xml:space="preserve">PT KARYA BERSAMA </v>
          </cell>
        </row>
        <row r="8">
          <cell r="F8" t="str">
            <v>S03</v>
          </cell>
          <cell r="G8" t="str">
            <v xml:space="preserve">UD BERSAUDARA </v>
          </cell>
        </row>
        <row r="15">
          <cell r="F15" t="str">
            <v>C01</v>
          </cell>
          <cell r="G15" t="str">
            <v xml:space="preserve">PT. GUNUNG AGUNG </v>
          </cell>
        </row>
        <row r="16">
          <cell r="F16" t="str">
            <v>C02</v>
          </cell>
          <cell r="G16" t="str">
            <v xml:space="preserve">TOKO BUKU UTAMA </v>
          </cell>
        </row>
        <row r="17">
          <cell r="F17" t="str">
            <v>C03</v>
          </cell>
          <cell r="G17" t="str">
            <v xml:space="preserve">CV MEBEL ABADI </v>
          </cell>
        </row>
        <row r="18">
          <cell r="F18" t="str">
            <v>C04</v>
          </cell>
          <cell r="G18" t="str">
            <v xml:space="preserve">CV SEMBILAN SEMBILAN </v>
          </cell>
        </row>
        <row r="19">
          <cell r="F19" t="str">
            <v>C05</v>
          </cell>
          <cell r="G19" t="str">
            <v>PENJUALAN COUNTER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C2" sqref="C2"/>
    </sheetView>
  </sheetViews>
  <sheetFormatPr defaultRowHeight="15" x14ac:dyDescent="0.25"/>
  <cols>
    <col min="2" max="2" width="32.42578125" customWidth="1"/>
    <col min="4" max="4" width="23.140625" customWidth="1"/>
    <col min="5" max="5" width="22.28515625" customWidth="1"/>
    <col min="8" max="8" width="17.28515625" customWidth="1"/>
    <col min="9" max="9" width="23" customWidth="1"/>
    <col min="10" max="10" width="18" customWidth="1"/>
    <col min="11" max="11" width="22.85546875" customWidth="1"/>
    <col min="12" max="12" width="14" customWidth="1"/>
  </cols>
  <sheetData>
    <row r="1" spans="1:12" x14ac:dyDescent="0.25">
      <c r="A1" s="181" t="s">
        <v>330</v>
      </c>
      <c r="B1" s="182"/>
    </row>
    <row r="2" spans="1:12" x14ac:dyDescent="0.25">
      <c r="A2" s="183" t="s">
        <v>329</v>
      </c>
      <c r="B2" s="184"/>
    </row>
    <row r="3" spans="1:12" ht="15.75" thickBot="1" x14ac:dyDescent="0.3"/>
    <row r="4" spans="1:12" ht="15.75" thickBot="1" x14ac:dyDescent="0.3">
      <c r="A4" s="4" t="s">
        <v>0</v>
      </c>
      <c r="B4" s="5"/>
    </row>
    <row r="5" spans="1:12" ht="15.75" thickBot="1" x14ac:dyDescent="0.3"/>
    <row r="6" spans="1:12" ht="15.75" thickBot="1" x14ac:dyDescent="0.3">
      <c r="A6" s="139" t="s">
        <v>1</v>
      </c>
      <c r="B6" s="139" t="s">
        <v>2</v>
      </c>
      <c r="C6" s="139" t="s">
        <v>3</v>
      </c>
      <c r="D6" s="139" t="s">
        <v>4</v>
      </c>
      <c r="E6" s="139" t="s">
        <v>5</v>
      </c>
      <c r="H6" s="13" t="s">
        <v>72</v>
      </c>
      <c r="I6" s="14"/>
      <c r="J6" s="15"/>
    </row>
    <row r="7" spans="1:12" x14ac:dyDescent="0.25">
      <c r="A7" s="139"/>
      <c r="B7" s="139"/>
      <c r="C7" s="139"/>
      <c r="D7" s="139"/>
      <c r="E7" s="139"/>
    </row>
    <row r="8" spans="1:12" x14ac:dyDescent="0.25">
      <c r="A8" s="1">
        <v>10000</v>
      </c>
      <c r="B8" s="1" t="s">
        <v>6</v>
      </c>
      <c r="C8" s="2"/>
      <c r="D8" s="6"/>
      <c r="E8" s="7"/>
      <c r="H8" s="10" t="s">
        <v>73</v>
      </c>
      <c r="I8" s="10" t="s">
        <v>74</v>
      </c>
      <c r="J8" s="11" t="s">
        <v>75</v>
      </c>
      <c r="K8" s="12" t="s">
        <v>76</v>
      </c>
      <c r="L8" s="11" t="s">
        <v>95</v>
      </c>
    </row>
    <row r="9" spans="1:12" x14ac:dyDescent="0.25">
      <c r="A9" s="2">
        <v>11000</v>
      </c>
      <c r="B9" s="2" t="s">
        <v>7</v>
      </c>
      <c r="C9" s="2"/>
      <c r="D9" s="6"/>
      <c r="E9" s="7"/>
      <c r="H9" s="2" t="s">
        <v>77</v>
      </c>
      <c r="I9" s="2" t="s">
        <v>78</v>
      </c>
      <c r="J9" s="9">
        <v>15</v>
      </c>
      <c r="K9" s="7">
        <v>1200000</v>
      </c>
      <c r="L9" s="7">
        <f>J9*K9</f>
        <v>18000000</v>
      </c>
    </row>
    <row r="10" spans="1:12" x14ac:dyDescent="0.25">
      <c r="A10" s="2">
        <v>11100</v>
      </c>
      <c r="B10" s="2" t="s">
        <v>8</v>
      </c>
      <c r="C10" s="2"/>
      <c r="D10" s="6"/>
      <c r="E10" s="7"/>
      <c r="H10" s="2" t="s">
        <v>79</v>
      </c>
      <c r="I10" s="2" t="s">
        <v>80</v>
      </c>
      <c r="J10" s="9">
        <v>50</v>
      </c>
      <c r="K10" s="7">
        <v>325000</v>
      </c>
      <c r="L10" s="7">
        <f t="shared" ref="L10:L17" si="0">J10*K10</f>
        <v>16250000</v>
      </c>
    </row>
    <row r="11" spans="1:12" x14ac:dyDescent="0.25">
      <c r="A11" s="2">
        <v>11101</v>
      </c>
      <c r="B11" s="2" t="s">
        <v>9</v>
      </c>
      <c r="C11" s="2"/>
      <c r="D11" s="6">
        <v>2500000</v>
      </c>
      <c r="E11" s="7"/>
      <c r="H11" s="2" t="s">
        <v>81</v>
      </c>
      <c r="I11" s="2" t="s">
        <v>82</v>
      </c>
      <c r="J11" s="9">
        <v>20</v>
      </c>
      <c r="K11" s="7">
        <v>1400000</v>
      </c>
      <c r="L11" s="7">
        <f t="shared" si="0"/>
        <v>28000000</v>
      </c>
    </row>
    <row r="12" spans="1:12" x14ac:dyDescent="0.25">
      <c r="A12" s="2">
        <v>11102</v>
      </c>
      <c r="B12" s="2" t="s">
        <v>10</v>
      </c>
      <c r="C12" s="2"/>
      <c r="D12" s="6">
        <v>750000</v>
      </c>
      <c r="E12" s="7"/>
      <c r="H12" s="2" t="s">
        <v>83</v>
      </c>
      <c r="I12" s="2" t="s">
        <v>84</v>
      </c>
      <c r="J12" s="9">
        <v>15</v>
      </c>
      <c r="K12" s="7">
        <v>1200000</v>
      </c>
      <c r="L12" s="7">
        <f t="shared" si="0"/>
        <v>18000000</v>
      </c>
    </row>
    <row r="13" spans="1:12" x14ac:dyDescent="0.25">
      <c r="A13" s="2">
        <v>11200</v>
      </c>
      <c r="B13" s="2" t="s">
        <v>11</v>
      </c>
      <c r="C13" s="2"/>
      <c r="D13" s="6"/>
      <c r="E13" s="7"/>
      <c r="H13" s="2" t="s">
        <v>85</v>
      </c>
      <c r="I13" s="2" t="s">
        <v>86</v>
      </c>
      <c r="J13" s="9">
        <v>8</v>
      </c>
      <c r="K13" s="7">
        <v>2850000</v>
      </c>
      <c r="L13" s="7">
        <f t="shared" si="0"/>
        <v>22800000</v>
      </c>
    </row>
    <row r="14" spans="1:12" x14ac:dyDescent="0.25">
      <c r="A14" s="2">
        <v>11201</v>
      </c>
      <c r="B14" s="2" t="s">
        <v>12</v>
      </c>
      <c r="C14" s="2"/>
      <c r="D14" s="6">
        <v>45000000</v>
      </c>
      <c r="E14" s="7"/>
      <c r="H14" s="2" t="s">
        <v>87</v>
      </c>
      <c r="I14" s="2" t="s">
        <v>88</v>
      </c>
      <c r="J14" s="9">
        <v>12</v>
      </c>
      <c r="K14" s="7">
        <v>590000</v>
      </c>
      <c r="L14" s="7">
        <f t="shared" si="0"/>
        <v>7080000</v>
      </c>
    </row>
    <row r="15" spans="1:12" x14ac:dyDescent="0.25">
      <c r="A15" s="2">
        <v>11202</v>
      </c>
      <c r="B15" s="2" t="s">
        <v>13</v>
      </c>
      <c r="C15" s="2"/>
      <c r="D15" s="6">
        <v>25000000</v>
      </c>
      <c r="E15" s="7"/>
      <c r="H15" s="2" t="s">
        <v>89</v>
      </c>
      <c r="I15" s="2" t="s">
        <v>90</v>
      </c>
      <c r="J15" s="9">
        <v>15</v>
      </c>
      <c r="K15" s="7">
        <v>1300000</v>
      </c>
      <c r="L15" s="7">
        <f t="shared" si="0"/>
        <v>19500000</v>
      </c>
    </row>
    <row r="16" spans="1:12" x14ac:dyDescent="0.25">
      <c r="A16" s="2">
        <v>11300</v>
      </c>
      <c r="B16" s="2" t="s">
        <v>14</v>
      </c>
      <c r="C16" s="2"/>
      <c r="D16" s="6"/>
      <c r="E16" s="7"/>
      <c r="H16" s="2" t="s">
        <v>91</v>
      </c>
      <c r="I16" s="2" t="s">
        <v>92</v>
      </c>
      <c r="J16" s="9">
        <v>12</v>
      </c>
      <c r="K16" s="7">
        <v>1750000</v>
      </c>
      <c r="L16" s="7">
        <f t="shared" si="0"/>
        <v>21000000</v>
      </c>
    </row>
    <row r="17" spans="1:12" x14ac:dyDescent="0.25">
      <c r="A17" s="2">
        <v>11301</v>
      </c>
      <c r="B17" s="2" t="s">
        <v>15</v>
      </c>
      <c r="C17" s="2"/>
      <c r="D17" s="6">
        <v>47500000</v>
      </c>
      <c r="E17" s="7"/>
      <c r="H17" s="2" t="s">
        <v>93</v>
      </c>
      <c r="I17" s="2" t="s">
        <v>94</v>
      </c>
      <c r="J17" s="9">
        <v>15</v>
      </c>
      <c r="K17" s="7">
        <v>1050000</v>
      </c>
      <c r="L17" s="7">
        <f t="shared" si="0"/>
        <v>15750000</v>
      </c>
    </row>
    <row r="18" spans="1:12" ht="15.75" thickBot="1" x14ac:dyDescent="0.3">
      <c r="A18" s="2">
        <v>11302</v>
      </c>
      <c r="B18" s="2" t="s">
        <v>16</v>
      </c>
      <c r="C18" s="2"/>
      <c r="D18" s="6"/>
      <c r="E18" s="7"/>
    </row>
    <row r="19" spans="1:12" ht="15.75" thickBot="1" x14ac:dyDescent="0.3">
      <c r="A19" s="2">
        <v>11400</v>
      </c>
      <c r="B19" s="2" t="s">
        <v>17</v>
      </c>
      <c r="C19" s="2"/>
      <c r="D19" s="6"/>
      <c r="E19" s="7"/>
      <c r="H19" s="13" t="s">
        <v>96</v>
      </c>
      <c r="I19" s="15"/>
    </row>
    <row r="20" spans="1:12" ht="15.75" thickBot="1" x14ac:dyDescent="0.3">
      <c r="A20" s="2">
        <v>11401</v>
      </c>
      <c r="B20" s="2" t="s">
        <v>18</v>
      </c>
      <c r="C20" s="2"/>
      <c r="D20" s="6"/>
      <c r="E20" s="7"/>
    </row>
    <row r="21" spans="1:12" ht="15.75" thickBot="1" x14ac:dyDescent="0.3">
      <c r="A21" s="2">
        <v>11500</v>
      </c>
      <c r="B21" s="2" t="s">
        <v>19</v>
      </c>
      <c r="C21" s="2"/>
      <c r="D21" s="6">
        <v>166380000</v>
      </c>
      <c r="E21" s="7"/>
      <c r="H21" s="17" t="s">
        <v>97</v>
      </c>
      <c r="I21" s="18" t="s">
        <v>109</v>
      </c>
      <c r="J21" s="24" t="s">
        <v>98</v>
      </c>
      <c r="K21" s="25" t="s">
        <v>110</v>
      </c>
    </row>
    <row r="22" spans="1:12" x14ac:dyDescent="0.25">
      <c r="A22" s="2">
        <v>11600</v>
      </c>
      <c r="B22" s="3" t="s">
        <v>20</v>
      </c>
      <c r="C22" s="2"/>
      <c r="D22" s="6"/>
      <c r="E22" s="7"/>
      <c r="H22" s="16" t="s">
        <v>99</v>
      </c>
      <c r="I22" s="16" t="s">
        <v>100</v>
      </c>
      <c r="J22" s="23">
        <v>10000000</v>
      </c>
      <c r="K22" s="16" t="s">
        <v>120</v>
      </c>
    </row>
    <row r="23" spans="1:12" x14ac:dyDescent="0.25">
      <c r="A23" s="2">
        <v>11601</v>
      </c>
      <c r="B23" s="2" t="s">
        <v>21</v>
      </c>
      <c r="C23" s="2"/>
      <c r="D23" s="6"/>
      <c r="E23" s="7"/>
      <c r="H23" s="2" t="s">
        <v>101</v>
      </c>
      <c r="I23" s="2" t="s">
        <v>102</v>
      </c>
      <c r="J23" s="6">
        <v>15000000</v>
      </c>
      <c r="K23" s="2" t="s">
        <v>120</v>
      </c>
    </row>
    <row r="24" spans="1:12" x14ac:dyDescent="0.25">
      <c r="A24" s="2">
        <v>11602</v>
      </c>
      <c r="B24" s="2" t="s">
        <v>22</v>
      </c>
      <c r="C24" s="2"/>
      <c r="D24" s="6"/>
      <c r="E24" s="7"/>
      <c r="H24" s="2" t="s">
        <v>103</v>
      </c>
      <c r="I24" s="2" t="s">
        <v>104</v>
      </c>
      <c r="J24" s="6">
        <v>7500000</v>
      </c>
      <c r="K24" s="2" t="s">
        <v>121</v>
      </c>
    </row>
    <row r="25" spans="1:12" x14ac:dyDescent="0.25">
      <c r="A25" s="2">
        <v>12000</v>
      </c>
      <c r="B25" s="2" t="s">
        <v>23</v>
      </c>
      <c r="C25" s="2"/>
      <c r="D25" s="6"/>
      <c r="E25" s="7"/>
      <c r="H25" s="2" t="s">
        <v>105</v>
      </c>
      <c r="I25" s="2" t="s">
        <v>106</v>
      </c>
      <c r="J25" s="6">
        <v>15000000</v>
      </c>
      <c r="K25" s="2" t="s">
        <v>121</v>
      </c>
    </row>
    <row r="26" spans="1:12" x14ac:dyDescent="0.25">
      <c r="A26" s="2">
        <v>12100</v>
      </c>
      <c r="B26" s="2" t="s">
        <v>24</v>
      </c>
      <c r="C26" s="2"/>
      <c r="D26" s="6"/>
      <c r="E26" s="7"/>
      <c r="H26" s="2" t="s">
        <v>107</v>
      </c>
      <c r="I26" s="2" t="s">
        <v>108</v>
      </c>
      <c r="J26" s="19">
        <v>47500000</v>
      </c>
      <c r="K26" s="2"/>
    </row>
    <row r="27" spans="1:12" ht="15.75" thickBot="1" x14ac:dyDescent="0.3">
      <c r="A27" s="2">
        <v>12101</v>
      </c>
      <c r="B27" s="2" t="s">
        <v>25</v>
      </c>
      <c r="C27" s="2"/>
      <c r="D27" s="6">
        <v>25000000</v>
      </c>
      <c r="E27" s="7"/>
      <c r="J27" s="8"/>
    </row>
    <row r="28" spans="1:12" ht="15.75" thickBot="1" x14ac:dyDescent="0.3">
      <c r="A28" s="2">
        <v>12102</v>
      </c>
      <c r="B28" s="2" t="s">
        <v>26</v>
      </c>
      <c r="C28" s="2"/>
      <c r="D28" s="6"/>
      <c r="E28" s="7">
        <v>7500000</v>
      </c>
      <c r="H28" s="13" t="s">
        <v>111</v>
      </c>
      <c r="I28" s="15"/>
      <c r="J28" s="8"/>
    </row>
    <row r="29" spans="1:12" ht="15.75" thickBot="1" x14ac:dyDescent="0.3">
      <c r="A29" s="2">
        <v>12200</v>
      </c>
      <c r="B29" s="2" t="s">
        <v>27</v>
      </c>
      <c r="C29" s="2"/>
      <c r="D29" s="6"/>
      <c r="E29" s="7"/>
      <c r="J29" s="8"/>
    </row>
    <row r="30" spans="1:12" ht="15.75" thickBot="1" x14ac:dyDescent="0.3">
      <c r="A30" s="2">
        <v>12201</v>
      </c>
      <c r="B30" s="2" t="s">
        <v>28</v>
      </c>
      <c r="C30" s="2"/>
      <c r="D30" s="6">
        <v>45000000</v>
      </c>
      <c r="E30" s="7"/>
      <c r="H30" s="17" t="s">
        <v>112</v>
      </c>
      <c r="I30" s="18" t="s">
        <v>113</v>
      </c>
      <c r="J30" s="20" t="s">
        <v>95</v>
      </c>
      <c r="K30" s="22" t="s">
        <v>110</v>
      </c>
    </row>
    <row r="31" spans="1:12" x14ac:dyDescent="0.25">
      <c r="A31" s="2">
        <v>12202</v>
      </c>
      <c r="B31" s="2" t="s">
        <v>29</v>
      </c>
      <c r="C31" s="2"/>
      <c r="D31" s="6"/>
      <c r="E31" s="7">
        <v>25000000</v>
      </c>
      <c r="H31" s="16" t="s">
        <v>114</v>
      </c>
      <c r="I31" s="16" t="s">
        <v>115</v>
      </c>
      <c r="J31" s="21">
        <v>24000000</v>
      </c>
      <c r="K31" s="2" t="s">
        <v>122</v>
      </c>
    </row>
    <row r="32" spans="1:12" x14ac:dyDescent="0.25">
      <c r="A32" s="1">
        <v>20000</v>
      </c>
      <c r="B32" s="1" t="s">
        <v>30</v>
      </c>
      <c r="C32" s="2"/>
      <c r="D32" s="6"/>
      <c r="E32" s="7"/>
      <c r="H32" s="2" t="s">
        <v>116</v>
      </c>
      <c r="I32" s="2" t="s">
        <v>117</v>
      </c>
      <c r="J32" s="7">
        <v>16000000</v>
      </c>
      <c r="K32" s="2" t="s">
        <v>122</v>
      </c>
    </row>
    <row r="33" spans="1:11" x14ac:dyDescent="0.25">
      <c r="A33" s="2">
        <v>21000</v>
      </c>
      <c r="B33" s="2" t="s">
        <v>31</v>
      </c>
      <c r="C33" s="2"/>
      <c r="D33" s="6"/>
      <c r="E33" s="7"/>
      <c r="H33" s="2" t="s">
        <v>118</v>
      </c>
      <c r="I33" s="2" t="s">
        <v>119</v>
      </c>
      <c r="J33" s="7">
        <v>35000000</v>
      </c>
      <c r="K33" s="2" t="s">
        <v>122</v>
      </c>
    </row>
    <row r="34" spans="1:11" x14ac:dyDescent="0.25">
      <c r="A34" s="2">
        <v>21100</v>
      </c>
      <c r="B34" s="2" t="s">
        <v>32</v>
      </c>
      <c r="C34" s="2"/>
      <c r="D34" s="6"/>
      <c r="E34" s="7">
        <v>75000000</v>
      </c>
    </row>
    <row r="35" spans="1:11" x14ac:dyDescent="0.25">
      <c r="A35" s="2">
        <v>21200</v>
      </c>
      <c r="B35" s="2" t="s">
        <v>33</v>
      </c>
      <c r="C35" s="2"/>
      <c r="D35" s="6"/>
      <c r="E35" s="7"/>
    </row>
    <row r="36" spans="1:11" x14ac:dyDescent="0.25">
      <c r="A36" s="2">
        <v>21300</v>
      </c>
      <c r="B36" s="2" t="s">
        <v>34</v>
      </c>
      <c r="C36" s="2"/>
      <c r="D36" s="6"/>
      <c r="E36" s="7"/>
    </row>
    <row r="37" spans="1:11" x14ac:dyDescent="0.25">
      <c r="A37" s="2">
        <v>21400</v>
      </c>
      <c r="B37" s="2" t="s">
        <v>35</v>
      </c>
      <c r="C37" s="2"/>
      <c r="D37" s="6"/>
      <c r="E37" s="7"/>
    </row>
    <row r="38" spans="1:11" x14ac:dyDescent="0.25">
      <c r="A38" s="2">
        <v>21401</v>
      </c>
      <c r="B38" s="2" t="s">
        <v>36</v>
      </c>
      <c r="C38" s="2"/>
      <c r="D38" s="6"/>
      <c r="E38" s="7"/>
    </row>
    <row r="39" spans="1:11" x14ac:dyDescent="0.25">
      <c r="A39" s="2">
        <v>21402</v>
      </c>
      <c r="B39" s="2" t="s">
        <v>37</v>
      </c>
      <c r="C39" s="2"/>
      <c r="D39" s="6"/>
      <c r="E39" s="7"/>
    </row>
    <row r="40" spans="1:11" x14ac:dyDescent="0.25">
      <c r="A40" s="2">
        <v>21403</v>
      </c>
      <c r="B40" s="2" t="s">
        <v>38</v>
      </c>
      <c r="C40" s="2"/>
      <c r="D40" s="6"/>
      <c r="E40" s="7"/>
    </row>
    <row r="41" spans="1:11" x14ac:dyDescent="0.25">
      <c r="A41" s="2">
        <v>22000</v>
      </c>
      <c r="B41" s="2" t="s">
        <v>39</v>
      </c>
      <c r="C41" s="2"/>
      <c r="D41" s="6"/>
      <c r="E41" s="7"/>
    </row>
    <row r="42" spans="1:11" x14ac:dyDescent="0.25">
      <c r="A42" s="2">
        <v>22001</v>
      </c>
      <c r="B42" s="2" t="s">
        <v>40</v>
      </c>
      <c r="C42" s="2"/>
      <c r="D42" s="6"/>
      <c r="E42" s="7">
        <v>75000000</v>
      </c>
    </row>
    <row r="43" spans="1:11" x14ac:dyDescent="0.25">
      <c r="A43" s="1">
        <v>30000</v>
      </c>
      <c r="B43" s="1" t="s">
        <v>41</v>
      </c>
      <c r="C43" s="2"/>
      <c r="D43" s="6"/>
      <c r="E43" s="7"/>
    </row>
    <row r="44" spans="1:11" x14ac:dyDescent="0.25">
      <c r="A44" s="2">
        <v>31000</v>
      </c>
      <c r="B44" s="2" t="s">
        <v>42</v>
      </c>
      <c r="C44" s="2"/>
      <c r="D44" s="6"/>
      <c r="E44" s="7">
        <v>150000000</v>
      </c>
    </row>
    <row r="45" spans="1:11" x14ac:dyDescent="0.25">
      <c r="A45" s="2">
        <v>32000</v>
      </c>
      <c r="B45" s="2" t="s">
        <v>43</v>
      </c>
      <c r="C45" s="2"/>
      <c r="D45" s="6"/>
      <c r="E45" s="7">
        <v>24630000</v>
      </c>
    </row>
    <row r="46" spans="1:11" x14ac:dyDescent="0.25">
      <c r="A46" s="2">
        <v>33000</v>
      </c>
      <c r="B46" s="2" t="s">
        <v>44</v>
      </c>
      <c r="C46" s="2"/>
      <c r="D46" s="6"/>
      <c r="E46" s="7"/>
    </row>
    <row r="47" spans="1:11" x14ac:dyDescent="0.25">
      <c r="A47" s="2">
        <v>39999</v>
      </c>
      <c r="B47" s="2" t="s">
        <v>45</v>
      </c>
      <c r="C47" s="2"/>
      <c r="D47" s="6"/>
      <c r="E47" s="7"/>
    </row>
    <row r="48" spans="1:11" x14ac:dyDescent="0.25">
      <c r="A48" s="1">
        <v>40000</v>
      </c>
      <c r="B48" s="1" t="s">
        <v>46</v>
      </c>
      <c r="C48" s="2"/>
      <c r="D48" s="6"/>
      <c r="E48" s="7"/>
    </row>
    <row r="49" spans="1:5" x14ac:dyDescent="0.25">
      <c r="A49" s="2">
        <v>41000</v>
      </c>
      <c r="B49" s="2" t="s">
        <v>47</v>
      </c>
      <c r="C49" s="2"/>
      <c r="D49" s="6"/>
      <c r="E49" s="7"/>
    </row>
    <row r="50" spans="1:5" x14ac:dyDescent="0.25">
      <c r="A50" s="2">
        <v>42000</v>
      </c>
      <c r="B50" s="2" t="s">
        <v>48</v>
      </c>
      <c r="C50" s="2"/>
      <c r="D50" s="6"/>
      <c r="E50" s="7"/>
    </row>
    <row r="51" spans="1:5" x14ac:dyDescent="0.25">
      <c r="A51" s="2">
        <v>43000</v>
      </c>
      <c r="B51" s="2" t="s">
        <v>49</v>
      </c>
      <c r="C51" s="2"/>
      <c r="D51" s="6"/>
      <c r="E51" s="7"/>
    </row>
    <row r="52" spans="1:5" x14ac:dyDescent="0.25">
      <c r="A52" s="1">
        <v>50000</v>
      </c>
      <c r="B52" s="1" t="s">
        <v>50</v>
      </c>
      <c r="C52" s="2"/>
      <c r="D52" s="6"/>
      <c r="E52" s="7"/>
    </row>
    <row r="53" spans="1:5" x14ac:dyDescent="0.25">
      <c r="A53" s="2">
        <v>51000</v>
      </c>
      <c r="B53" s="2" t="s">
        <v>51</v>
      </c>
      <c r="C53" s="2"/>
      <c r="D53" s="6"/>
      <c r="E53" s="7"/>
    </row>
    <row r="54" spans="1:5" x14ac:dyDescent="0.25">
      <c r="A54" s="1">
        <v>60000</v>
      </c>
      <c r="B54" s="1" t="s">
        <v>52</v>
      </c>
      <c r="C54" s="2"/>
      <c r="D54" s="6"/>
      <c r="E54" s="7"/>
    </row>
    <row r="55" spans="1:5" x14ac:dyDescent="0.25">
      <c r="A55" s="2">
        <v>61001</v>
      </c>
      <c r="B55" s="2" t="s">
        <v>53</v>
      </c>
      <c r="C55" s="2"/>
      <c r="D55" s="6"/>
      <c r="E55" s="7"/>
    </row>
    <row r="56" spans="1:5" x14ac:dyDescent="0.25">
      <c r="A56" s="3">
        <v>61002</v>
      </c>
      <c r="B56" s="2" t="s">
        <v>54</v>
      </c>
      <c r="C56" s="2"/>
      <c r="D56" s="6"/>
      <c r="E56" s="7"/>
    </row>
    <row r="57" spans="1:5" x14ac:dyDescent="0.25">
      <c r="A57" s="3">
        <v>61003</v>
      </c>
      <c r="B57" s="2" t="s">
        <v>55</v>
      </c>
      <c r="C57" s="2"/>
      <c r="D57" s="6"/>
      <c r="E57" s="7"/>
    </row>
    <row r="58" spans="1:5" x14ac:dyDescent="0.25">
      <c r="A58" s="3">
        <v>61004</v>
      </c>
      <c r="B58" s="2" t="s">
        <v>56</v>
      </c>
      <c r="C58" s="2"/>
      <c r="D58" s="6"/>
      <c r="E58" s="7"/>
    </row>
    <row r="59" spans="1:5" x14ac:dyDescent="0.25">
      <c r="A59" s="3">
        <v>61005</v>
      </c>
      <c r="B59" s="2" t="s">
        <v>57</v>
      </c>
      <c r="C59" s="2"/>
      <c r="D59" s="6"/>
      <c r="E59" s="7"/>
    </row>
    <row r="60" spans="1:5" x14ac:dyDescent="0.25">
      <c r="A60" s="3">
        <v>61006</v>
      </c>
      <c r="B60" s="2" t="s">
        <v>58</v>
      </c>
      <c r="C60" s="2"/>
      <c r="D60" s="6"/>
      <c r="E60" s="7"/>
    </row>
    <row r="61" spans="1:5" x14ac:dyDescent="0.25">
      <c r="A61" s="3">
        <v>61007</v>
      </c>
      <c r="B61" s="2" t="s">
        <v>59</v>
      </c>
      <c r="C61" s="2"/>
      <c r="D61" s="6"/>
      <c r="E61" s="7"/>
    </row>
    <row r="62" spans="1:5" x14ac:dyDescent="0.25">
      <c r="A62" s="3">
        <v>61008</v>
      </c>
      <c r="B62" s="2" t="s">
        <v>60</v>
      </c>
      <c r="C62" s="2"/>
      <c r="D62" s="6"/>
      <c r="E62" s="7"/>
    </row>
    <row r="63" spans="1:5" x14ac:dyDescent="0.25">
      <c r="A63" s="3">
        <v>61009</v>
      </c>
      <c r="B63" s="2" t="s">
        <v>61</v>
      </c>
      <c r="C63" s="2"/>
      <c r="D63" s="6"/>
      <c r="E63" s="7"/>
    </row>
    <row r="64" spans="1:5" x14ac:dyDescent="0.25">
      <c r="A64" s="3">
        <v>61010</v>
      </c>
      <c r="B64" s="2" t="s">
        <v>62</v>
      </c>
      <c r="C64" s="2"/>
      <c r="D64" s="6"/>
      <c r="E64" s="7"/>
    </row>
    <row r="65" spans="1:5" x14ac:dyDescent="0.25">
      <c r="A65" s="3">
        <v>61011</v>
      </c>
      <c r="B65" s="2" t="s">
        <v>63</v>
      </c>
      <c r="C65" s="2"/>
      <c r="D65" s="6"/>
      <c r="E65" s="7"/>
    </row>
    <row r="66" spans="1:5" x14ac:dyDescent="0.25">
      <c r="A66" s="3">
        <v>61099</v>
      </c>
      <c r="B66" s="2" t="s">
        <v>64</v>
      </c>
      <c r="C66" s="2"/>
      <c r="D66" s="6"/>
      <c r="E66" s="7"/>
    </row>
    <row r="67" spans="1:5" x14ac:dyDescent="0.25">
      <c r="A67" s="1">
        <v>80000</v>
      </c>
      <c r="B67" s="1" t="s">
        <v>65</v>
      </c>
      <c r="C67" s="2"/>
      <c r="D67" s="6"/>
      <c r="E67" s="7"/>
    </row>
    <row r="68" spans="1:5" x14ac:dyDescent="0.25">
      <c r="A68" s="3">
        <v>81001</v>
      </c>
      <c r="B68" s="2" t="s">
        <v>66</v>
      </c>
      <c r="C68" s="2"/>
      <c r="D68" s="6"/>
      <c r="E68" s="7"/>
    </row>
    <row r="69" spans="1:5" x14ac:dyDescent="0.25">
      <c r="A69" s="3">
        <v>81002</v>
      </c>
      <c r="B69" s="2" t="s">
        <v>67</v>
      </c>
      <c r="C69" s="2"/>
      <c r="D69" s="6"/>
      <c r="E69" s="7"/>
    </row>
    <row r="70" spans="1:5" x14ac:dyDescent="0.25">
      <c r="A70" s="1">
        <v>90000</v>
      </c>
      <c r="B70" s="1" t="s">
        <v>68</v>
      </c>
      <c r="C70" s="2"/>
      <c r="D70" s="6"/>
      <c r="E70" s="7"/>
    </row>
    <row r="71" spans="1:5" x14ac:dyDescent="0.25">
      <c r="A71" s="3">
        <v>91001</v>
      </c>
      <c r="B71" s="2" t="s">
        <v>69</v>
      </c>
      <c r="C71" s="2"/>
      <c r="D71" s="6"/>
      <c r="E71" s="7"/>
    </row>
    <row r="72" spans="1:5" x14ac:dyDescent="0.25">
      <c r="A72" s="3">
        <v>91002</v>
      </c>
      <c r="B72" s="2" t="s">
        <v>70</v>
      </c>
      <c r="C72" s="2"/>
      <c r="D72" s="6"/>
      <c r="E72" s="7"/>
    </row>
    <row r="73" spans="1:5" x14ac:dyDescent="0.25">
      <c r="A73" s="2"/>
      <c r="B73" s="2" t="s">
        <v>71</v>
      </c>
      <c r="C73" s="2"/>
      <c r="D73" s="7">
        <f>SUM(D11:D72)</f>
        <v>357130000</v>
      </c>
      <c r="E73" s="7">
        <f>SUM(E8:E72)</f>
        <v>357130000</v>
      </c>
    </row>
  </sheetData>
  <mergeCells count="7">
    <mergeCell ref="A1:B1"/>
    <mergeCell ref="A2:B2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I21" sqref="I21"/>
    </sheetView>
  </sheetViews>
  <sheetFormatPr defaultRowHeight="15" x14ac:dyDescent="0.25"/>
  <cols>
    <col min="9" max="9" width="18.85546875" style="8" customWidth="1"/>
    <col min="10" max="10" width="17.28515625" style="8" customWidth="1"/>
    <col min="11" max="11" width="17.5703125" style="8" customWidth="1"/>
    <col min="12" max="12" width="18.140625" style="8" customWidth="1"/>
  </cols>
  <sheetData>
    <row r="1" spans="1:13" ht="15.75" thickBot="1" x14ac:dyDescent="0.3"/>
    <row r="2" spans="1:13" x14ac:dyDescent="0.25">
      <c r="A2" s="147" t="s">
        <v>291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1:13" x14ac:dyDescent="0.25">
      <c r="A3" s="150" t="s">
        <v>256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13" ht="15.75" thickBot="1" x14ac:dyDescent="0.3">
      <c r="A4" s="153" t="s">
        <v>251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x14ac:dyDescent="0.25">
      <c r="A5" s="71"/>
      <c r="B5" s="42"/>
      <c r="C5" s="42"/>
      <c r="D5" s="42"/>
      <c r="E5" s="42"/>
      <c r="F5" s="42"/>
      <c r="G5" s="42"/>
      <c r="H5" s="42"/>
      <c r="I5" s="125"/>
      <c r="J5" s="125"/>
      <c r="K5" s="125"/>
      <c r="L5" s="125"/>
      <c r="M5" s="65"/>
    </row>
    <row r="6" spans="1:13" x14ac:dyDescent="0.25">
      <c r="A6" s="71"/>
      <c r="B6" s="64" t="s">
        <v>257</v>
      </c>
      <c r="C6" s="42"/>
      <c r="D6" s="42"/>
      <c r="E6" s="42"/>
      <c r="F6" s="42"/>
      <c r="G6" s="42"/>
      <c r="H6" s="42"/>
      <c r="I6" s="125"/>
      <c r="J6" s="125"/>
      <c r="K6" s="125"/>
      <c r="L6" s="125"/>
      <c r="M6" s="65"/>
    </row>
    <row r="7" spans="1:13" x14ac:dyDescent="0.25">
      <c r="A7" s="71"/>
      <c r="B7" s="42"/>
      <c r="C7" s="64" t="s">
        <v>7</v>
      </c>
      <c r="D7" s="78"/>
      <c r="E7" s="78"/>
      <c r="F7" s="42"/>
      <c r="G7" s="42"/>
      <c r="H7" s="42"/>
      <c r="I7" s="125"/>
      <c r="J7" s="125"/>
      <c r="K7" s="125"/>
      <c r="L7" s="125"/>
      <c r="M7" s="65"/>
    </row>
    <row r="8" spans="1:13" x14ac:dyDescent="0.25">
      <c r="A8" s="71"/>
      <c r="B8" s="42"/>
      <c r="C8" s="76">
        <v>11101</v>
      </c>
      <c r="D8" s="42" t="s">
        <v>258</v>
      </c>
      <c r="E8" s="42"/>
      <c r="F8" s="42"/>
      <c r="G8" s="42"/>
      <c r="H8" s="42"/>
      <c r="I8" s="126">
        <f ca="1">VLOOKUP(C8,'NERACA SALDO'!$A$8:$I$53,8,FALSE)</f>
        <v>62773250</v>
      </c>
      <c r="J8" s="125"/>
      <c r="K8" s="125"/>
      <c r="L8" s="125"/>
      <c r="M8" s="65"/>
    </row>
    <row r="9" spans="1:13" x14ac:dyDescent="0.25">
      <c r="A9" s="71"/>
      <c r="B9" s="42"/>
      <c r="C9" s="76">
        <v>11102</v>
      </c>
      <c r="D9" s="42" t="s">
        <v>259</v>
      </c>
      <c r="E9" s="42"/>
      <c r="F9" s="42"/>
      <c r="G9" s="42"/>
      <c r="H9" s="42"/>
      <c r="I9" s="126">
        <f ca="1">VLOOKUP(C9,'NERACA SALDO'!$A$8:$I$53,8,FALSE)</f>
        <v>750000</v>
      </c>
      <c r="J9" s="125"/>
      <c r="K9" s="125"/>
      <c r="L9" s="125"/>
      <c r="M9" s="65"/>
    </row>
    <row r="10" spans="1:13" x14ac:dyDescent="0.25">
      <c r="A10" s="71"/>
      <c r="B10" s="42"/>
      <c r="C10" s="76">
        <v>11201</v>
      </c>
      <c r="D10" s="42" t="s">
        <v>260</v>
      </c>
      <c r="E10" s="42"/>
      <c r="F10" s="42"/>
      <c r="G10" s="42"/>
      <c r="H10" s="42"/>
      <c r="I10" s="126">
        <f ca="1">VLOOKUP(C10,'NERACA SALDO'!$A$8:$I$53,8,FALSE)</f>
        <v>21875000</v>
      </c>
      <c r="J10" s="125"/>
      <c r="K10" s="125"/>
      <c r="L10" s="125"/>
      <c r="M10" s="65"/>
    </row>
    <row r="11" spans="1:13" x14ac:dyDescent="0.25">
      <c r="A11" s="71"/>
      <c r="B11" s="42"/>
      <c r="C11" s="76">
        <v>11202</v>
      </c>
      <c r="D11" s="42" t="s">
        <v>13</v>
      </c>
      <c r="E11" s="42"/>
      <c r="F11" s="42"/>
      <c r="G11" s="42"/>
      <c r="H11" s="42"/>
      <c r="I11" s="126">
        <f ca="1">VLOOKUP(C11,'NERACA SALDO'!$A$8:$I$53,8,FALSE)</f>
        <v>52011500</v>
      </c>
      <c r="J11" s="125"/>
      <c r="K11" s="125"/>
      <c r="L11" s="125"/>
      <c r="M11" s="65"/>
    </row>
    <row r="12" spans="1:13" x14ac:dyDescent="0.25">
      <c r="A12" s="71"/>
      <c r="B12" s="42"/>
      <c r="C12" s="76">
        <v>11301</v>
      </c>
      <c r="D12" s="42" t="s">
        <v>261</v>
      </c>
      <c r="E12" s="42"/>
      <c r="F12" s="42"/>
      <c r="G12" s="42"/>
      <c r="H12" s="42"/>
      <c r="I12" s="126">
        <f ca="1">VLOOKUP(C12,'NERACA SALDO'!$A$8:$I$53,8,FALSE)</f>
        <v>58035000</v>
      </c>
      <c r="J12" s="125"/>
      <c r="K12" s="125"/>
      <c r="L12" s="125"/>
      <c r="M12" s="65"/>
    </row>
    <row r="13" spans="1:13" x14ac:dyDescent="0.25">
      <c r="A13" s="71"/>
      <c r="B13" s="42"/>
      <c r="C13" s="76">
        <v>11302</v>
      </c>
      <c r="D13" s="42" t="s">
        <v>262</v>
      </c>
      <c r="E13" s="42"/>
      <c r="F13" s="42"/>
      <c r="G13" s="42"/>
      <c r="H13" s="42"/>
      <c r="I13" s="126">
        <f ca="1">-VLOOKUP(C13,'NERACA SALDO'!$A$8:$I$53,9,FALSE)</f>
        <v>-2901750</v>
      </c>
      <c r="J13" s="125"/>
      <c r="K13" s="125"/>
      <c r="L13" s="125"/>
      <c r="M13" s="65"/>
    </row>
    <row r="14" spans="1:13" x14ac:dyDescent="0.25">
      <c r="A14" s="71"/>
      <c r="B14" s="42"/>
      <c r="C14" s="76">
        <v>11401</v>
      </c>
      <c r="D14" s="42" t="s">
        <v>263</v>
      </c>
      <c r="E14" s="42"/>
      <c r="F14" s="42"/>
      <c r="G14" s="42"/>
      <c r="H14" s="42"/>
      <c r="I14" s="126">
        <f ca="1">VLOOKUP(C14,'NERACA SALDO'!$A$8:$I$53,8,FALSE)</f>
        <v>2000000</v>
      </c>
      <c r="J14" s="125"/>
      <c r="K14" s="125"/>
      <c r="L14" s="125"/>
      <c r="M14" s="65"/>
    </row>
    <row r="15" spans="1:13" x14ac:dyDescent="0.25">
      <c r="A15" s="71"/>
      <c r="B15" s="42"/>
      <c r="C15" s="76">
        <v>11500</v>
      </c>
      <c r="D15" s="42" t="s">
        <v>264</v>
      </c>
      <c r="E15" s="42"/>
      <c r="F15" s="42"/>
      <c r="G15" s="42"/>
      <c r="H15" s="42"/>
      <c r="I15" s="126">
        <f ca="1">VLOOKUP(C15,'NERACA SALDO'!$A$8:$I$53,8,FALSE)</f>
        <v>71465000</v>
      </c>
      <c r="J15" s="125"/>
      <c r="K15" s="125"/>
      <c r="L15" s="125"/>
      <c r="M15" s="65"/>
    </row>
    <row r="16" spans="1:13" x14ac:dyDescent="0.25">
      <c r="A16" s="71"/>
      <c r="B16" s="42"/>
      <c r="C16" s="76">
        <v>11601</v>
      </c>
      <c r="D16" s="42" t="s">
        <v>265</v>
      </c>
      <c r="E16" s="42"/>
      <c r="F16" s="42"/>
      <c r="G16" s="79"/>
      <c r="H16" s="42"/>
      <c r="I16" s="126">
        <f ca="1">VLOOKUP(C16,'NERACA SALDO'!$A$8:$I$53,8,FALSE)</f>
        <v>2392500</v>
      </c>
      <c r="J16" s="125"/>
      <c r="K16" s="125"/>
      <c r="L16" s="125"/>
      <c r="M16" s="65"/>
    </row>
    <row r="17" spans="1:13" x14ac:dyDescent="0.25">
      <c r="A17" s="71"/>
      <c r="B17" s="42"/>
      <c r="C17" s="42"/>
      <c r="D17" s="68" t="s">
        <v>266</v>
      </c>
      <c r="E17" s="42"/>
      <c r="F17" s="42"/>
      <c r="G17" s="42"/>
      <c r="H17" s="42"/>
      <c r="I17" s="126"/>
      <c r="J17" s="130">
        <f ca="1">SUM(I8:I16)</f>
        <v>268400500</v>
      </c>
      <c r="K17" s="130"/>
      <c r="L17" s="130"/>
      <c r="M17" s="65"/>
    </row>
    <row r="18" spans="1:13" x14ac:dyDescent="0.25">
      <c r="A18" s="71"/>
      <c r="B18" s="76"/>
      <c r="C18" s="42"/>
      <c r="D18" s="42"/>
      <c r="E18" s="42"/>
      <c r="F18" s="42"/>
      <c r="G18" s="42"/>
      <c r="H18" s="42"/>
      <c r="I18" s="126"/>
      <c r="J18" s="130"/>
      <c r="K18" s="130"/>
      <c r="L18" s="130"/>
      <c r="M18" s="65"/>
    </row>
    <row r="19" spans="1:13" x14ac:dyDescent="0.25">
      <c r="A19" s="71"/>
      <c r="B19" s="42"/>
      <c r="C19" s="64" t="s">
        <v>267</v>
      </c>
      <c r="D19" s="42"/>
      <c r="E19" s="42"/>
      <c r="F19" s="42"/>
      <c r="G19" s="42"/>
      <c r="H19" s="42"/>
      <c r="I19" s="126"/>
      <c r="J19" s="130"/>
      <c r="K19" s="130"/>
      <c r="L19" s="130"/>
      <c r="M19" s="65"/>
    </row>
    <row r="20" spans="1:13" x14ac:dyDescent="0.25">
      <c r="A20" s="71"/>
      <c r="B20" s="42"/>
      <c r="C20" s="76">
        <v>12101</v>
      </c>
      <c r="D20" s="42" t="s">
        <v>268</v>
      </c>
      <c r="E20" s="42"/>
      <c r="F20" s="42"/>
      <c r="G20" s="42"/>
      <c r="H20" s="42"/>
      <c r="I20" s="126">
        <f ca="1">VLOOKUP(C20,'NERACA SALDO'!$A$8:$I$53,8,FALSE)</f>
        <v>25000000</v>
      </c>
      <c r="J20" s="130"/>
      <c r="K20" s="130"/>
      <c r="L20" s="130"/>
      <c r="M20" s="65"/>
    </row>
    <row r="21" spans="1:13" x14ac:dyDescent="0.25">
      <c r="A21" s="71"/>
      <c r="B21" s="42"/>
      <c r="C21" s="76">
        <v>12102</v>
      </c>
      <c r="D21" s="42" t="s">
        <v>269</v>
      </c>
      <c r="E21" s="42"/>
      <c r="F21" s="42"/>
      <c r="G21" s="42"/>
      <c r="H21" s="42"/>
      <c r="I21" s="126">
        <f ca="1">-VLOOKUP(C21,'NERACA SALDO'!$A$8:$I$53,9,FALSE)</f>
        <v>-7900000</v>
      </c>
      <c r="J21" s="130"/>
      <c r="K21" s="130"/>
      <c r="L21" s="130"/>
      <c r="M21" s="65"/>
    </row>
    <row r="22" spans="1:13" x14ac:dyDescent="0.25">
      <c r="A22" s="71"/>
      <c r="B22" s="42"/>
      <c r="C22" s="76">
        <v>12201</v>
      </c>
      <c r="D22" s="42" t="s">
        <v>270</v>
      </c>
      <c r="E22" s="42"/>
      <c r="F22" s="42"/>
      <c r="G22" s="42"/>
      <c r="H22" s="42"/>
      <c r="I22" s="126">
        <f ca="1">VLOOKUP(C22,'NERACA SALDO'!$A$8:$I$53,8,FALSE)</f>
        <v>50500000</v>
      </c>
      <c r="J22" s="130"/>
      <c r="K22" s="130"/>
      <c r="L22" s="130"/>
      <c r="M22" s="65"/>
    </row>
    <row r="23" spans="1:13" x14ac:dyDescent="0.25">
      <c r="A23" s="71"/>
      <c r="B23" s="42"/>
      <c r="C23" s="76">
        <v>12202</v>
      </c>
      <c r="D23" s="42" t="s">
        <v>271</v>
      </c>
      <c r="E23" s="42"/>
      <c r="F23" s="42"/>
      <c r="G23" s="42"/>
      <c r="H23" s="42"/>
      <c r="I23" s="126">
        <f ca="1">-VLOOKUP(C23,'NERACA SALDO'!$A$8:$I$53,9,FALSE)</f>
        <v>-24000000</v>
      </c>
      <c r="J23" s="130"/>
      <c r="K23" s="130"/>
      <c r="L23" s="130"/>
      <c r="M23" s="65"/>
    </row>
    <row r="24" spans="1:13" ht="15.75" thickBot="1" x14ac:dyDescent="0.3">
      <c r="A24" s="71"/>
      <c r="B24" s="80"/>
      <c r="C24" s="64"/>
      <c r="D24" s="68" t="s">
        <v>272</v>
      </c>
      <c r="E24" s="64"/>
      <c r="F24" s="64"/>
      <c r="G24" s="64"/>
      <c r="H24" s="42"/>
      <c r="I24" s="125"/>
      <c r="J24" s="136">
        <f ca="1">SUM(I20:I23)</f>
        <v>43600000</v>
      </c>
      <c r="K24" s="130"/>
      <c r="L24" s="130"/>
      <c r="M24" s="65"/>
    </row>
    <row r="25" spans="1:13" ht="16.5" thickTop="1" thickBot="1" x14ac:dyDescent="0.3">
      <c r="A25" s="81"/>
      <c r="B25" s="151" t="s">
        <v>273</v>
      </c>
      <c r="C25" s="151"/>
      <c r="D25" s="151"/>
      <c r="E25" s="151"/>
      <c r="F25" s="151"/>
      <c r="G25" s="151"/>
      <c r="H25" s="82"/>
      <c r="I25" s="135"/>
      <c r="J25" s="137"/>
      <c r="K25" s="137"/>
      <c r="L25" s="138">
        <f ca="1">J17+J24</f>
        <v>312000500</v>
      </c>
      <c r="M25" s="84"/>
    </row>
    <row r="26" spans="1:13" ht="15.75" thickTop="1" x14ac:dyDescent="0.25">
      <c r="A26" s="71"/>
      <c r="B26" s="76"/>
      <c r="C26" s="42"/>
      <c r="D26" s="42"/>
      <c r="E26" s="42"/>
      <c r="F26" s="42"/>
      <c r="G26" s="42"/>
      <c r="H26" s="42"/>
      <c r="I26" s="125"/>
      <c r="J26" s="125"/>
      <c r="K26" s="125"/>
      <c r="L26" s="125"/>
      <c r="M26" s="65"/>
    </row>
    <row r="27" spans="1:13" x14ac:dyDescent="0.25">
      <c r="A27" s="71"/>
      <c r="B27" s="80" t="s">
        <v>274</v>
      </c>
      <c r="C27" s="64"/>
      <c r="D27" s="42"/>
      <c r="E27" s="42"/>
      <c r="F27" s="42"/>
      <c r="G27" s="42"/>
      <c r="H27" s="42"/>
      <c r="I27" s="125"/>
      <c r="J27" s="125"/>
      <c r="K27" s="125"/>
      <c r="L27" s="125"/>
      <c r="M27" s="65"/>
    </row>
    <row r="28" spans="1:13" x14ac:dyDescent="0.25">
      <c r="A28" s="71"/>
      <c r="B28" s="42"/>
      <c r="C28" s="64" t="s">
        <v>275</v>
      </c>
      <c r="D28" s="42"/>
      <c r="E28" s="42"/>
      <c r="F28" s="42"/>
      <c r="G28" s="42"/>
      <c r="H28" s="42"/>
      <c r="I28" s="125"/>
      <c r="J28" s="125"/>
      <c r="K28" s="125"/>
      <c r="L28" s="125"/>
      <c r="M28" s="65"/>
    </row>
    <row r="29" spans="1:13" x14ac:dyDescent="0.25">
      <c r="A29" s="71"/>
      <c r="B29" s="42"/>
      <c r="C29" s="76">
        <v>21100</v>
      </c>
      <c r="D29" s="42" t="s">
        <v>276</v>
      </c>
      <c r="E29" s="42"/>
      <c r="F29" s="42"/>
      <c r="G29" s="42"/>
      <c r="H29" s="42"/>
      <c r="I29" s="126">
        <f ca="1">VLOOKUP(C29,'NERACA SALDO'!$A$8:$I$53,9,FALSE)</f>
        <v>46567500</v>
      </c>
      <c r="J29" s="125"/>
      <c r="K29" s="125"/>
      <c r="L29" s="125"/>
      <c r="M29" s="65"/>
    </row>
    <row r="30" spans="1:13" x14ac:dyDescent="0.25">
      <c r="A30" s="71"/>
      <c r="B30" s="42"/>
      <c r="C30" s="76">
        <v>21200</v>
      </c>
      <c r="D30" s="42" t="s">
        <v>277</v>
      </c>
      <c r="E30" s="42"/>
      <c r="F30" s="42"/>
      <c r="G30" s="42"/>
      <c r="H30" s="42"/>
      <c r="I30" s="126">
        <f ca="1">VLOOKUP(C30,'NERACA SALDO'!$A$8:$I$53,9,FALSE)</f>
        <v>200000</v>
      </c>
      <c r="J30" s="125"/>
      <c r="K30" s="125"/>
      <c r="L30" s="125"/>
      <c r="M30" s="65"/>
    </row>
    <row r="31" spans="1:13" x14ac:dyDescent="0.25">
      <c r="A31" s="71"/>
      <c r="B31" s="42"/>
      <c r="C31" s="76">
        <v>21300</v>
      </c>
      <c r="D31" s="42" t="s">
        <v>278</v>
      </c>
      <c r="E31" s="42"/>
      <c r="F31" s="42"/>
      <c r="G31" s="42"/>
      <c r="H31" s="42"/>
      <c r="I31" s="126">
        <f ca="1">VLOOKUP(C31,'NERACA SALDO'!$A$8:$I$53,9,FALSE)</f>
        <v>1500000</v>
      </c>
      <c r="J31" s="125"/>
      <c r="K31" s="125"/>
      <c r="L31" s="125"/>
      <c r="M31" s="65"/>
    </row>
    <row r="32" spans="1:13" x14ac:dyDescent="0.25">
      <c r="A32" s="71"/>
      <c r="B32" s="42"/>
      <c r="C32" s="76">
        <v>21401</v>
      </c>
      <c r="D32" s="42" t="s">
        <v>36</v>
      </c>
      <c r="E32" s="42"/>
      <c r="F32" s="42"/>
      <c r="G32" s="42"/>
      <c r="H32" s="42"/>
      <c r="I32" s="126">
        <f ca="1">VLOOKUP(C32,'NERACA SALDO'!$A$8:$I$53,9,FALSE)</f>
        <v>725000</v>
      </c>
      <c r="J32" s="125"/>
      <c r="K32" s="125"/>
      <c r="L32" s="125"/>
      <c r="M32" s="65"/>
    </row>
    <row r="33" spans="1:13" x14ac:dyDescent="0.25">
      <c r="A33" s="71"/>
      <c r="B33" s="42"/>
      <c r="C33" s="76">
        <v>21402</v>
      </c>
      <c r="D33" s="42" t="s">
        <v>37</v>
      </c>
      <c r="E33" s="42"/>
      <c r="F33" s="42"/>
      <c r="G33" s="42"/>
      <c r="H33" s="42"/>
      <c r="I33" s="126">
        <f ca="1">VLOOKUP(C33,'NERACA SALDO'!$A$8:$I$53,9,FALSE)</f>
        <v>250000</v>
      </c>
      <c r="J33" s="125"/>
      <c r="K33" s="125"/>
      <c r="L33" s="125"/>
      <c r="M33" s="65"/>
    </row>
    <row r="34" spans="1:13" x14ac:dyDescent="0.25">
      <c r="A34" s="71"/>
      <c r="B34" s="42"/>
      <c r="C34" s="76">
        <v>21403</v>
      </c>
      <c r="D34" s="42" t="s">
        <v>279</v>
      </c>
      <c r="E34" s="42"/>
      <c r="F34" s="42"/>
      <c r="G34" s="42"/>
      <c r="H34" s="42"/>
      <c r="I34" s="126">
        <f ca="1">VLOOKUP(C34,'NERACA SALDO'!$A$8:$I$53,9,FALSE)</f>
        <v>13969750</v>
      </c>
      <c r="J34" s="125"/>
      <c r="K34" s="125"/>
      <c r="L34" s="125"/>
      <c r="M34" s="65"/>
    </row>
    <row r="35" spans="1:13" x14ac:dyDescent="0.25">
      <c r="A35" s="71"/>
      <c r="B35" s="42"/>
      <c r="C35" s="76"/>
      <c r="D35" s="68" t="s">
        <v>280</v>
      </c>
      <c r="E35" s="64"/>
      <c r="F35" s="64"/>
      <c r="G35" s="64"/>
      <c r="H35" s="42"/>
      <c r="I35" s="125"/>
      <c r="J35" s="130">
        <f ca="1">SUM(I29:I34)</f>
        <v>63212250</v>
      </c>
      <c r="K35" s="130"/>
      <c r="L35" s="130"/>
      <c r="M35" s="65"/>
    </row>
    <row r="36" spans="1:13" x14ac:dyDescent="0.25">
      <c r="A36" s="71"/>
      <c r="B36" s="42"/>
      <c r="C36" s="76"/>
      <c r="D36" s="42"/>
      <c r="E36" s="42"/>
      <c r="F36" s="42"/>
      <c r="G36" s="42"/>
      <c r="H36" s="42"/>
      <c r="I36" s="125"/>
      <c r="J36" s="130"/>
      <c r="K36" s="130"/>
      <c r="L36" s="130"/>
      <c r="M36" s="65"/>
    </row>
    <row r="37" spans="1:13" x14ac:dyDescent="0.25">
      <c r="A37" s="71"/>
      <c r="B37" s="42"/>
      <c r="C37" s="64" t="s">
        <v>281</v>
      </c>
      <c r="D37" s="42"/>
      <c r="E37" s="42"/>
      <c r="F37" s="42"/>
      <c r="G37" s="42"/>
      <c r="H37" s="42"/>
      <c r="I37" s="125"/>
      <c r="J37" s="130"/>
      <c r="K37" s="130"/>
      <c r="L37" s="130"/>
      <c r="M37" s="65"/>
    </row>
    <row r="38" spans="1:13" x14ac:dyDescent="0.25">
      <c r="A38" s="71"/>
      <c r="B38" s="42"/>
      <c r="C38" s="76">
        <v>22001</v>
      </c>
      <c r="D38" s="42" t="s">
        <v>282</v>
      </c>
      <c r="E38" s="42"/>
      <c r="F38" s="42"/>
      <c r="G38" s="42"/>
      <c r="H38" s="42"/>
      <c r="I38" s="126">
        <f ca="1">VLOOKUP(C38,'NERACA SALDO'!$A$8:$I$53,9,FALSE)</f>
        <v>75000000</v>
      </c>
      <c r="J38" s="130"/>
      <c r="K38" s="130"/>
      <c r="L38" s="130"/>
      <c r="M38" s="65"/>
    </row>
    <row r="39" spans="1:13" ht="15.75" thickBot="1" x14ac:dyDescent="0.3">
      <c r="A39" s="71"/>
      <c r="B39" s="42"/>
      <c r="C39" s="76"/>
      <c r="D39" s="68" t="s">
        <v>283</v>
      </c>
      <c r="E39" s="64"/>
      <c r="F39" s="64"/>
      <c r="G39" s="64"/>
      <c r="H39" s="42"/>
      <c r="I39" s="125"/>
      <c r="J39" s="136">
        <f ca="1">I38</f>
        <v>75000000</v>
      </c>
      <c r="K39" s="130"/>
      <c r="L39" s="130"/>
      <c r="M39" s="65"/>
    </row>
    <row r="40" spans="1:13" ht="15.75" thickTop="1" x14ac:dyDescent="0.25">
      <c r="A40" s="71"/>
      <c r="B40" s="42"/>
      <c r="C40" s="76"/>
      <c r="D40" s="42"/>
      <c r="E40" s="64" t="s">
        <v>284</v>
      </c>
      <c r="F40" s="64"/>
      <c r="G40" s="42"/>
      <c r="H40" s="42"/>
      <c r="I40" s="125"/>
      <c r="J40" s="130"/>
      <c r="K40" s="130">
        <f ca="1">J35+J39</f>
        <v>138212250</v>
      </c>
      <c r="L40" s="130"/>
      <c r="M40" s="65"/>
    </row>
    <row r="41" spans="1:13" x14ac:dyDescent="0.25">
      <c r="A41" s="71"/>
      <c r="B41" s="42"/>
      <c r="C41" s="76"/>
      <c r="D41" s="42"/>
      <c r="E41" s="42"/>
      <c r="F41" s="42"/>
      <c r="G41" s="42"/>
      <c r="H41" s="42"/>
      <c r="I41" s="125"/>
      <c r="J41" s="130"/>
      <c r="K41" s="130"/>
      <c r="L41" s="130"/>
      <c r="M41" s="65"/>
    </row>
    <row r="42" spans="1:13" x14ac:dyDescent="0.25">
      <c r="A42" s="71"/>
      <c r="B42" s="42"/>
      <c r="C42" s="64" t="s">
        <v>285</v>
      </c>
      <c r="D42" s="42"/>
      <c r="E42" s="42"/>
      <c r="F42" s="42"/>
      <c r="G42" s="42"/>
      <c r="H42" s="42"/>
      <c r="I42" s="125"/>
      <c r="J42" s="130"/>
      <c r="K42" s="130"/>
      <c r="L42" s="130"/>
      <c r="M42" s="65"/>
    </row>
    <row r="43" spans="1:13" x14ac:dyDescent="0.25">
      <c r="A43" s="71"/>
      <c r="B43" s="42"/>
      <c r="C43" s="76">
        <v>31000</v>
      </c>
      <c r="D43" s="42" t="s">
        <v>286</v>
      </c>
      <c r="E43" s="42"/>
      <c r="F43" s="42"/>
      <c r="G43" s="42"/>
      <c r="H43" s="42"/>
      <c r="I43" s="126">
        <f ca="1">VLOOKUP(C43,'NERACA SALDO'!$A$8:$I$53,9,FALSE)</f>
        <v>150000000</v>
      </c>
      <c r="J43" s="130"/>
      <c r="K43" s="130"/>
      <c r="L43" s="130"/>
      <c r="M43" s="65"/>
    </row>
    <row r="44" spans="1:13" x14ac:dyDescent="0.25">
      <c r="A44" s="71"/>
      <c r="B44" s="42"/>
      <c r="C44" s="76">
        <v>32000</v>
      </c>
      <c r="D44" s="42" t="s">
        <v>253</v>
      </c>
      <c r="E44" s="42"/>
      <c r="F44" s="42"/>
      <c r="G44" s="42"/>
      <c r="H44" s="42"/>
      <c r="I44" s="126">
        <v>23788250</v>
      </c>
      <c r="J44" s="130"/>
      <c r="K44" s="130"/>
      <c r="L44" s="130"/>
      <c r="M44" s="65"/>
    </row>
    <row r="45" spans="1:13" ht="15.75" thickBot="1" x14ac:dyDescent="0.3">
      <c r="A45" s="71"/>
      <c r="B45" s="42"/>
      <c r="C45" s="42"/>
      <c r="D45" s="42"/>
      <c r="E45" s="64" t="s">
        <v>287</v>
      </c>
      <c r="F45" s="64"/>
      <c r="G45" s="42"/>
      <c r="H45" s="42"/>
      <c r="I45" s="125"/>
      <c r="J45" s="130"/>
      <c r="K45" s="136">
        <f ca="1">SUM(I43:I44)</f>
        <v>173788250</v>
      </c>
      <c r="L45" s="130"/>
      <c r="M45" s="65"/>
    </row>
    <row r="46" spans="1:13" ht="16.5" thickTop="1" thickBot="1" x14ac:dyDescent="0.3">
      <c r="A46" s="85"/>
      <c r="B46" s="154" t="s">
        <v>288</v>
      </c>
      <c r="C46" s="154"/>
      <c r="D46" s="154"/>
      <c r="E46" s="154"/>
      <c r="F46" s="154"/>
      <c r="G46" s="154"/>
      <c r="H46" s="86"/>
      <c r="I46" s="133"/>
      <c r="J46" s="134"/>
      <c r="K46" s="134"/>
      <c r="L46" s="134">
        <f ca="1">K40+K45</f>
        <v>312000500</v>
      </c>
      <c r="M46" s="88"/>
    </row>
  </sheetData>
  <mergeCells count="5">
    <mergeCell ref="A2:M2"/>
    <mergeCell ref="A3:M3"/>
    <mergeCell ref="A4:M4"/>
    <mergeCell ref="B25:G25"/>
    <mergeCell ref="B46:G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workbookViewId="0">
      <selection activeCell="G10" sqref="G10"/>
    </sheetView>
  </sheetViews>
  <sheetFormatPr defaultRowHeight="15" x14ac:dyDescent="0.25"/>
  <cols>
    <col min="2" max="2" width="10.7109375" bestFit="1" customWidth="1"/>
    <col min="3" max="3" width="12" customWidth="1"/>
    <col min="4" max="4" width="17" customWidth="1"/>
    <col min="5" max="5" width="36.28515625" customWidth="1"/>
    <col min="7" max="7" width="19" style="8" customWidth="1"/>
    <col min="8" max="8" width="20.140625" style="8" customWidth="1"/>
    <col min="9" max="9" width="9.140625" style="35"/>
    <col min="10" max="10" width="13.42578125" style="8" customWidth="1"/>
    <col min="11" max="11" width="15.140625" style="8" customWidth="1"/>
    <col min="12" max="12" width="9.140625" style="35"/>
    <col min="13" max="13" width="14.85546875" style="8" customWidth="1"/>
    <col min="14" max="14" width="14.5703125" style="8" customWidth="1"/>
  </cols>
  <sheetData>
    <row r="1" spans="1:14" x14ac:dyDescent="0.25">
      <c r="A1" s="147" t="s">
        <v>123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9"/>
    </row>
    <row r="2" spans="1:14" x14ac:dyDescent="0.25">
      <c r="A2" s="150" t="s">
        <v>124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</row>
    <row r="3" spans="1:14" ht="15.75" thickBot="1" x14ac:dyDescent="0.3">
      <c r="A3" s="153" t="s">
        <v>290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5" spans="1:14" ht="15.75" thickBot="1" x14ac:dyDescent="0.3"/>
    <row r="6" spans="1:14" x14ac:dyDescent="0.25">
      <c r="A6" s="156" t="s">
        <v>125</v>
      </c>
      <c r="B6" s="159" t="s">
        <v>126</v>
      </c>
      <c r="C6" s="159" t="s">
        <v>127</v>
      </c>
      <c r="D6" s="163" t="s">
        <v>131</v>
      </c>
      <c r="E6" s="159" t="s">
        <v>110</v>
      </c>
      <c r="F6" s="159" t="s">
        <v>128</v>
      </c>
      <c r="G6" s="161" t="s">
        <v>129</v>
      </c>
      <c r="H6" s="161" t="s">
        <v>130</v>
      </c>
      <c r="I6" s="140" t="s">
        <v>135</v>
      </c>
      <c r="J6" s="141"/>
      <c r="K6" s="141"/>
      <c r="L6" s="141"/>
      <c r="M6" s="141"/>
      <c r="N6" s="142"/>
    </row>
    <row r="7" spans="1:14" x14ac:dyDescent="0.25">
      <c r="A7" s="157"/>
      <c r="B7" s="160"/>
      <c r="C7" s="160"/>
      <c r="D7" s="164"/>
      <c r="E7" s="160"/>
      <c r="F7" s="160"/>
      <c r="G7" s="162"/>
      <c r="H7" s="162"/>
      <c r="I7" s="143" t="s">
        <v>136</v>
      </c>
      <c r="J7" s="144"/>
      <c r="K7" s="145"/>
      <c r="L7" s="143" t="s">
        <v>137</v>
      </c>
      <c r="M7" s="144"/>
      <c r="N7" s="146"/>
    </row>
    <row r="8" spans="1:14" x14ac:dyDescent="0.25">
      <c r="A8" s="158"/>
      <c r="B8" s="160"/>
      <c r="C8" s="160"/>
      <c r="D8" s="165"/>
      <c r="E8" s="160"/>
      <c r="F8" s="160"/>
      <c r="G8" s="162"/>
      <c r="H8" s="162"/>
      <c r="I8" s="95" t="s">
        <v>132</v>
      </c>
      <c r="J8" s="12" t="s">
        <v>133</v>
      </c>
      <c r="K8" s="12" t="s">
        <v>95</v>
      </c>
      <c r="L8" s="95" t="s">
        <v>132</v>
      </c>
      <c r="M8" s="12" t="s">
        <v>134</v>
      </c>
      <c r="N8" s="96" t="s">
        <v>95</v>
      </c>
    </row>
    <row r="9" spans="1:14" x14ac:dyDescent="0.25">
      <c r="A9" s="97">
        <v>11602</v>
      </c>
      <c r="B9" s="43">
        <v>38719</v>
      </c>
      <c r="C9" s="2" t="s">
        <v>167</v>
      </c>
      <c r="D9" s="49"/>
      <c r="E9" s="2" t="str">
        <f>VLOOKUP(A9,'MASTER AKUN'!$A$8:$C$72,2,FALSE)</f>
        <v>Uang Muka Pembelian</v>
      </c>
      <c r="F9" s="2"/>
      <c r="G9" s="6">
        <v>6000000</v>
      </c>
      <c r="H9" s="6"/>
      <c r="I9" s="2"/>
      <c r="J9" s="46"/>
      <c r="K9" s="46"/>
      <c r="L9" s="2"/>
      <c r="M9" s="46"/>
      <c r="N9" s="98"/>
    </row>
    <row r="10" spans="1:14" ht="15.75" thickBot="1" x14ac:dyDescent="0.3">
      <c r="A10" s="97">
        <v>11201</v>
      </c>
      <c r="B10" s="44"/>
      <c r="C10" s="44" t="s">
        <v>167</v>
      </c>
      <c r="D10" s="50"/>
      <c r="E10" s="44" t="str">
        <f>VLOOKUP(A10,'MASTER AKUN'!$A$8:$C$72,2,FALSE)</f>
        <v>Bank BCA</v>
      </c>
      <c r="F10" s="44"/>
      <c r="G10" s="121"/>
      <c r="H10" s="121">
        <v>6000000</v>
      </c>
      <c r="I10" s="44"/>
      <c r="J10" s="47"/>
      <c r="K10" s="47"/>
      <c r="L10" s="44"/>
      <c r="M10" s="47"/>
      <c r="N10" s="99"/>
    </row>
    <row r="11" spans="1:14" x14ac:dyDescent="0.25">
      <c r="A11" s="97">
        <v>21100</v>
      </c>
      <c r="B11" s="45">
        <v>38719</v>
      </c>
      <c r="C11" s="16" t="s">
        <v>156</v>
      </c>
      <c r="D11" s="51" t="s">
        <v>114</v>
      </c>
      <c r="E11" s="16" t="str">
        <f>VLOOKUP(A11,'MASTER AKUN'!$A$8:$C$72,2,FALSE)</f>
        <v>Hutang Usaha</v>
      </c>
      <c r="F11" s="16"/>
      <c r="G11" s="23">
        <v>24000000</v>
      </c>
      <c r="H11" s="23"/>
      <c r="I11" s="16"/>
      <c r="J11" s="48"/>
      <c r="K11" s="48"/>
      <c r="L11" s="16"/>
      <c r="M11" s="48"/>
      <c r="N11" s="100"/>
    </row>
    <row r="12" spans="1:14" ht="15.75" thickBot="1" x14ac:dyDescent="0.3">
      <c r="A12" s="97">
        <v>11201</v>
      </c>
      <c r="B12" s="44"/>
      <c r="C12" s="44" t="s">
        <v>156</v>
      </c>
      <c r="D12" s="50"/>
      <c r="E12" s="44" t="str">
        <f>VLOOKUP(A12,'MASTER AKUN'!$A$8:$C$72,2,FALSE)</f>
        <v>Bank BCA</v>
      </c>
      <c r="F12" s="44"/>
      <c r="G12" s="121"/>
      <c r="H12" s="121">
        <v>24000000</v>
      </c>
      <c r="I12" s="44"/>
      <c r="J12" s="47"/>
      <c r="K12" s="47"/>
      <c r="L12" s="44"/>
      <c r="M12" s="47"/>
      <c r="N12" s="99"/>
    </row>
    <row r="13" spans="1:14" x14ac:dyDescent="0.25">
      <c r="A13" s="97">
        <v>11101</v>
      </c>
      <c r="B13" s="45">
        <v>38720</v>
      </c>
      <c r="C13" s="16" t="s">
        <v>157</v>
      </c>
      <c r="D13" s="52"/>
      <c r="E13" s="16" t="str">
        <f>VLOOKUP(A13,'MASTER AKUN'!$A$8:$C$72,2,FALSE)</f>
        <v>Kas Di Tangan</v>
      </c>
      <c r="F13" s="16"/>
      <c r="G13" s="23">
        <v>24956250</v>
      </c>
      <c r="H13" s="23"/>
      <c r="I13" s="16"/>
      <c r="J13" s="48"/>
      <c r="K13" s="48"/>
      <c r="L13" s="16"/>
      <c r="M13" s="48"/>
      <c r="N13" s="100"/>
    </row>
    <row r="14" spans="1:14" x14ac:dyDescent="0.25">
      <c r="A14" s="97">
        <v>43000</v>
      </c>
      <c r="B14" s="2"/>
      <c r="C14" s="16" t="s">
        <v>157</v>
      </c>
      <c r="D14" s="49"/>
      <c r="E14" s="2" t="str">
        <f>VLOOKUP(A14,'MASTER AKUN'!$A$8:$C$72,2,FALSE)</f>
        <v>Potongan Penjualan</v>
      </c>
      <c r="F14" s="2"/>
      <c r="G14" s="6">
        <v>562500</v>
      </c>
      <c r="H14" s="6"/>
      <c r="I14" s="2"/>
      <c r="J14" s="46"/>
      <c r="K14" s="46"/>
      <c r="L14" s="2"/>
      <c r="M14" s="46"/>
      <c r="N14" s="98"/>
    </row>
    <row r="15" spans="1:14" x14ac:dyDescent="0.25">
      <c r="A15" s="97">
        <v>21403</v>
      </c>
      <c r="B15" s="2"/>
      <c r="C15" s="16" t="s">
        <v>157</v>
      </c>
      <c r="D15" s="49"/>
      <c r="E15" s="2" t="str">
        <f>VLOOKUP(A15,'MASTER AKUN'!$A$8:$C$72,2,FALSE)</f>
        <v>PPN Keluaran</v>
      </c>
      <c r="F15" s="2"/>
      <c r="G15" s="6"/>
      <c r="H15" s="6">
        <v>2268750</v>
      </c>
      <c r="I15" s="2"/>
      <c r="J15" s="46"/>
      <c r="K15" s="46"/>
      <c r="L15" s="2"/>
      <c r="M15" s="46"/>
      <c r="N15" s="98"/>
    </row>
    <row r="16" spans="1:14" x14ac:dyDescent="0.25">
      <c r="A16" s="97">
        <v>41000</v>
      </c>
      <c r="B16" s="2"/>
      <c r="C16" s="16" t="s">
        <v>157</v>
      </c>
      <c r="D16" s="49"/>
      <c r="E16" s="2" t="str">
        <f>VLOOKUP(A16,'MASTER AKUN'!$A$8:$C$72,2,FALSE)</f>
        <v>Penjualan</v>
      </c>
      <c r="F16" s="2"/>
      <c r="G16" s="6"/>
      <c r="H16" s="6">
        <f>G13+G14-H15</f>
        <v>23250000</v>
      </c>
      <c r="I16" s="2"/>
      <c r="J16" s="46"/>
      <c r="K16" s="46"/>
      <c r="L16" s="2"/>
      <c r="M16" s="46"/>
      <c r="N16" s="98"/>
    </row>
    <row r="17" spans="1:14" x14ac:dyDescent="0.25">
      <c r="A17" s="97">
        <v>51000</v>
      </c>
      <c r="B17" s="2"/>
      <c r="C17" s="16" t="s">
        <v>157</v>
      </c>
      <c r="D17" s="49"/>
      <c r="E17" s="2" t="str">
        <f>VLOOKUP(A17,'MASTER AKUN'!$A$8:$C$72,2,FALSE)</f>
        <v>Harga Pokok Penjualan</v>
      </c>
      <c r="F17" s="2"/>
      <c r="G17" s="6">
        <f>SUM(H18:H19)</f>
        <v>19350000</v>
      </c>
      <c r="H17" s="6"/>
      <c r="I17" s="2"/>
      <c r="J17" s="46"/>
      <c r="K17" s="46"/>
      <c r="L17" s="2"/>
      <c r="M17" s="46"/>
      <c r="N17" s="98"/>
    </row>
    <row r="18" spans="1:14" x14ac:dyDescent="0.25">
      <c r="A18" s="97">
        <v>11500</v>
      </c>
      <c r="B18" s="2"/>
      <c r="C18" s="16" t="s">
        <v>157</v>
      </c>
      <c r="D18" s="49" t="s">
        <v>77</v>
      </c>
      <c r="E18" s="2" t="str">
        <f>VLOOKUP(A18,'MASTER AKUN'!$A$8:$C$72,2,FALSE)</f>
        <v>PERSEDIAAN BARANG DAGANGAN</v>
      </c>
      <c r="F18" s="2"/>
      <c r="G18" s="6"/>
      <c r="H18" s="6">
        <v>9600000</v>
      </c>
      <c r="I18" s="2"/>
      <c r="J18" s="46"/>
      <c r="K18" s="46"/>
      <c r="L18" s="2">
        <v>8</v>
      </c>
      <c r="M18" s="46">
        <v>1200000</v>
      </c>
      <c r="N18" s="98">
        <f>L18*M18</f>
        <v>9600000</v>
      </c>
    </row>
    <row r="19" spans="1:14" ht="15.75" thickBot="1" x14ac:dyDescent="0.3">
      <c r="A19" s="97">
        <v>11500</v>
      </c>
      <c r="B19" s="44"/>
      <c r="C19" s="44" t="s">
        <v>157</v>
      </c>
      <c r="D19" s="50" t="s">
        <v>79</v>
      </c>
      <c r="E19" s="44" t="str">
        <f>VLOOKUP(A19,'MASTER AKUN'!$A$8:$C$72,2,FALSE)</f>
        <v>PERSEDIAAN BARANG DAGANGAN</v>
      </c>
      <c r="F19" s="44"/>
      <c r="G19" s="121"/>
      <c r="H19" s="121">
        <v>9750000</v>
      </c>
      <c r="I19" s="44"/>
      <c r="J19" s="47"/>
      <c r="K19" s="47"/>
      <c r="L19" s="44">
        <v>30</v>
      </c>
      <c r="M19" s="47">
        <v>325000</v>
      </c>
      <c r="N19" s="99">
        <f>L19*M19</f>
        <v>9750000</v>
      </c>
    </row>
    <row r="20" spans="1:14" x14ac:dyDescent="0.25">
      <c r="A20" s="97">
        <v>11202</v>
      </c>
      <c r="B20" s="45">
        <v>38720</v>
      </c>
      <c r="C20" s="16" t="s">
        <v>158</v>
      </c>
      <c r="D20" s="53"/>
      <c r="E20" s="16" t="str">
        <f>VLOOKUP(A20,'MASTER AKUN'!$A$8:$C$72,2,FALSE)</f>
        <v>Bank Mandiri</v>
      </c>
      <c r="F20" s="16"/>
      <c r="G20" s="23">
        <f>H22-G21</f>
        <v>14550000</v>
      </c>
      <c r="H20" s="23"/>
      <c r="I20" s="16"/>
      <c r="J20" s="48"/>
      <c r="K20" s="48"/>
      <c r="L20" s="16"/>
      <c r="M20" s="48"/>
      <c r="N20" s="100"/>
    </row>
    <row r="21" spans="1:14" x14ac:dyDescent="0.25">
      <c r="A21" s="97">
        <v>43000</v>
      </c>
      <c r="B21" s="2"/>
      <c r="C21" s="16" t="s">
        <v>158</v>
      </c>
      <c r="D21" s="49"/>
      <c r="E21" s="2" t="str">
        <f>VLOOKUP(A21,'MASTER AKUN'!$A$8:$C$72,2,FALSE)</f>
        <v>Potongan Penjualan</v>
      </c>
      <c r="F21" s="2"/>
      <c r="G21" s="6">
        <v>450000</v>
      </c>
      <c r="H21" s="6"/>
      <c r="I21" s="2"/>
      <c r="J21" s="46"/>
      <c r="K21" s="46"/>
      <c r="L21" s="2"/>
      <c r="M21" s="46"/>
      <c r="N21" s="98"/>
    </row>
    <row r="22" spans="1:14" ht="15.75" thickBot="1" x14ac:dyDescent="0.3">
      <c r="A22" s="97">
        <v>11301</v>
      </c>
      <c r="B22" s="44"/>
      <c r="C22" s="44" t="s">
        <v>158</v>
      </c>
      <c r="D22" s="54" t="s">
        <v>105</v>
      </c>
      <c r="E22" s="44" t="str">
        <f>VLOOKUP(A22,'MASTER AKUN'!$A$8:$C$72,2,FALSE)</f>
        <v xml:space="preserve">Piutang Usaha </v>
      </c>
      <c r="F22" s="44"/>
      <c r="G22" s="121"/>
      <c r="H22" s="121">
        <v>15000000</v>
      </c>
      <c r="I22" s="44"/>
      <c r="J22" s="47"/>
      <c r="K22" s="47"/>
      <c r="L22" s="44"/>
      <c r="M22" s="47"/>
      <c r="N22" s="99"/>
    </row>
    <row r="23" spans="1:14" x14ac:dyDescent="0.25">
      <c r="A23" s="97">
        <v>11500</v>
      </c>
      <c r="B23" s="45">
        <v>38721</v>
      </c>
      <c r="C23" s="16" t="s">
        <v>159</v>
      </c>
      <c r="D23" s="53" t="s">
        <v>77</v>
      </c>
      <c r="E23" s="16" t="str">
        <f>VLOOKUP(A23,'MASTER AKUN'!$A$8:$C$72,2,FALSE)</f>
        <v>PERSEDIAAN BARANG DAGANGAN</v>
      </c>
      <c r="F23" s="16"/>
      <c r="G23" s="23">
        <v>12000000</v>
      </c>
      <c r="H23" s="23"/>
      <c r="I23" s="16">
        <v>10</v>
      </c>
      <c r="J23" s="48">
        <v>1200000</v>
      </c>
      <c r="K23" s="48">
        <f>I23*J23</f>
        <v>12000000</v>
      </c>
      <c r="L23" s="16"/>
      <c r="M23" s="48"/>
      <c r="N23" s="100"/>
    </row>
    <row r="24" spans="1:14" x14ac:dyDescent="0.25">
      <c r="A24" s="97">
        <v>11500</v>
      </c>
      <c r="B24" s="2"/>
      <c r="C24" s="16" t="s">
        <v>159</v>
      </c>
      <c r="D24" s="49" t="s">
        <v>79</v>
      </c>
      <c r="E24" s="2" t="str">
        <f>VLOOKUP(A24,'MASTER AKUN'!$A$8:$C$72,2,FALSE)</f>
        <v>PERSEDIAAN BARANG DAGANGAN</v>
      </c>
      <c r="F24" s="2"/>
      <c r="G24" s="6">
        <v>9750000</v>
      </c>
      <c r="H24" s="6"/>
      <c r="I24" s="2">
        <v>30</v>
      </c>
      <c r="J24" s="46">
        <v>325000</v>
      </c>
      <c r="K24" s="48">
        <f>I24*J24</f>
        <v>9750000</v>
      </c>
      <c r="L24" s="2"/>
      <c r="M24" s="46"/>
      <c r="N24" s="98"/>
    </row>
    <row r="25" spans="1:14" x14ac:dyDescent="0.25">
      <c r="A25" s="97">
        <v>11601</v>
      </c>
      <c r="B25" s="2"/>
      <c r="C25" s="16" t="s">
        <v>159</v>
      </c>
      <c r="D25" s="49"/>
      <c r="E25" s="2" t="str">
        <f>VLOOKUP(A25,'MASTER AKUN'!$A$8:$C$72,2,FALSE)</f>
        <v>PPN Masukan</v>
      </c>
      <c r="F25" s="2"/>
      <c r="G25" s="6">
        <f>(G23+G24)*10%</f>
        <v>2175000</v>
      </c>
      <c r="H25" s="6"/>
      <c r="I25" s="2"/>
      <c r="J25" s="46"/>
      <c r="K25" s="46"/>
      <c r="L25" s="2"/>
      <c r="M25" s="46"/>
      <c r="N25" s="98"/>
    </row>
    <row r="26" spans="1:14" x14ac:dyDescent="0.25">
      <c r="A26" s="97">
        <v>21100</v>
      </c>
      <c r="B26" s="2"/>
      <c r="C26" s="16" t="s">
        <v>159</v>
      </c>
      <c r="D26" s="52" t="s">
        <v>114</v>
      </c>
      <c r="E26" s="2" t="str">
        <f>VLOOKUP(A26,'MASTER AKUN'!$A$8:$C$72,2,FALSE)</f>
        <v>Hutang Usaha</v>
      </c>
      <c r="F26" s="2"/>
      <c r="G26" s="6"/>
      <c r="H26" s="6">
        <f>G23+G24+G25-H27</f>
        <v>17925000</v>
      </c>
      <c r="I26" s="2"/>
      <c r="J26" s="46"/>
      <c r="K26" s="46"/>
      <c r="L26" s="2"/>
      <c r="M26" s="46"/>
      <c r="N26" s="98"/>
    </row>
    <row r="27" spans="1:14" ht="15.75" thickBot="1" x14ac:dyDescent="0.3">
      <c r="A27" s="97">
        <v>11602</v>
      </c>
      <c r="B27" s="44"/>
      <c r="C27" s="44" t="s">
        <v>159</v>
      </c>
      <c r="D27" s="50"/>
      <c r="E27" s="44" t="str">
        <f>VLOOKUP(A27,'MASTER AKUN'!$A$8:$C$72,2,FALSE)</f>
        <v>Uang Muka Pembelian</v>
      </c>
      <c r="F27" s="44"/>
      <c r="G27" s="121"/>
      <c r="H27" s="121">
        <v>6000000</v>
      </c>
      <c r="I27" s="44"/>
      <c r="J27" s="47"/>
      <c r="K27" s="47"/>
      <c r="L27" s="44"/>
      <c r="M27" s="47"/>
      <c r="N27" s="99"/>
    </row>
    <row r="28" spans="1:14" x14ac:dyDescent="0.25">
      <c r="A28" s="97">
        <v>21100</v>
      </c>
      <c r="B28" s="45">
        <v>38723</v>
      </c>
      <c r="C28" s="16" t="s">
        <v>160</v>
      </c>
      <c r="D28" s="52" t="s">
        <v>114</v>
      </c>
      <c r="E28" s="16" t="str">
        <f>VLOOKUP(A28,'MASTER AKUN'!$A$8:$C$72,2,FALSE)</f>
        <v>Hutang Usaha</v>
      </c>
      <c r="F28" s="16"/>
      <c r="G28" s="23">
        <f>H30+H29</f>
        <v>357500</v>
      </c>
      <c r="H28" s="23"/>
      <c r="I28" s="16"/>
      <c r="J28" s="48"/>
      <c r="K28" s="48"/>
      <c r="L28" s="16"/>
      <c r="M28" s="48"/>
      <c r="N28" s="100"/>
    </row>
    <row r="29" spans="1:14" x14ac:dyDescent="0.25">
      <c r="A29" s="97">
        <v>11601</v>
      </c>
      <c r="B29" s="2"/>
      <c r="C29" s="16" t="s">
        <v>160</v>
      </c>
      <c r="D29" s="49"/>
      <c r="E29" s="2" t="str">
        <f>VLOOKUP(A29,'MASTER AKUN'!$A$8:$C$72,2,FALSE)</f>
        <v>PPN Masukan</v>
      </c>
      <c r="F29" s="2"/>
      <c r="G29" s="6"/>
      <c r="H29" s="6">
        <f>H30*10%</f>
        <v>32500</v>
      </c>
      <c r="I29" s="2"/>
      <c r="J29" s="46"/>
      <c r="K29" s="46"/>
      <c r="L29" s="2"/>
      <c r="M29" s="46"/>
      <c r="N29" s="98"/>
    </row>
    <row r="30" spans="1:14" ht="15.75" thickBot="1" x14ac:dyDescent="0.3">
      <c r="A30" s="97">
        <v>11500</v>
      </c>
      <c r="B30" s="44"/>
      <c r="C30" s="44" t="s">
        <v>160</v>
      </c>
      <c r="D30" s="50" t="s">
        <v>79</v>
      </c>
      <c r="E30" s="44" t="str">
        <f>VLOOKUP(A30,'MASTER AKUN'!$A$8:$C$72,2,FALSE)</f>
        <v>PERSEDIAAN BARANG DAGANGAN</v>
      </c>
      <c r="F30" s="44"/>
      <c r="G30" s="121"/>
      <c r="H30" s="121">
        <v>325000</v>
      </c>
      <c r="I30" s="44">
        <v>-1</v>
      </c>
      <c r="J30" s="47">
        <v>325000</v>
      </c>
      <c r="K30" s="47">
        <f>I30*J30</f>
        <v>-325000</v>
      </c>
      <c r="L30" s="44"/>
      <c r="M30" s="47"/>
      <c r="N30" s="99"/>
    </row>
    <row r="31" spans="1:14" x14ac:dyDescent="0.25">
      <c r="A31" s="97">
        <v>11201</v>
      </c>
      <c r="B31" s="45">
        <v>38724</v>
      </c>
      <c r="C31" s="16" t="s">
        <v>161</v>
      </c>
      <c r="D31" s="53"/>
      <c r="E31" s="16" t="str">
        <f>VLOOKUP(A31,'MASTER AKUN'!$A$8:$C$72,2,FALSE)</f>
        <v>Bank BCA</v>
      </c>
      <c r="F31" s="16"/>
      <c r="G31" s="23">
        <v>30000000</v>
      </c>
      <c r="H31" s="23"/>
      <c r="I31" s="16"/>
      <c r="J31" s="48"/>
      <c r="K31" s="48"/>
      <c r="L31" s="16"/>
      <c r="M31" s="48"/>
      <c r="N31" s="100"/>
    </row>
    <row r="32" spans="1:14" ht="15.75" thickBot="1" x14ac:dyDescent="0.3">
      <c r="A32" s="97">
        <v>11202</v>
      </c>
      <c r="B32" s="44"/>
      <c r="C32" s="44" t="s">
        <v>161</v>
      </c>
      <c r="D32" s="50"/>
      <c r="E32" s="44" t="str">
        <f>VLOOKUP(A32,'MASTER AKUN'!$A$8:$C$72,2,FALSE)</f>
        <v>Bank Mandiri</v>
      </c>
      <c r="F32" s="44"/>
      <c r="G32" s="121"/>
      <c r="H32" s="121">
        <v>30000000</v>
      </c>
      <c r="I32" s="44"/>
      <c r="J32" s="47"/>
      <c r="K32" s="47"/>
      <c r="L32" s="44"/>
      <c r="M32" s="47"/>
      <c r="N32" s="99"/>
    </row>
    <row r="33" spans="1:14" x14ac:dyDescent="0.25">
      <c r="A33" s="97">
        <v>11201</v>
      </c>
      <c r="B33" s="45">
        <v>38726</v>
      </c>
      <c r="C33" s="16" t="s">
        <v>162</v>
      </c>
      <c r="D33" s="53"/>
      <c r="E33" s="16" t="str">
        <f>VLOOKUP(A33,'MASTER AKUN'!$A$8:$C$72,2,FALSE)</f>
        <v>Bank BCA</v>
      </c>
      <c r="F33" s="16"/>
      <c r="G33" s="23">
        <f>H35-G34</f>
        <v>14700000</v>
      </c>
      <c r="H33" s="23"/>
      <c r="I33" s="16"/>
      <c r="J33" s="48"/>
      <c r="K33" s="48"/>
      <c r="L33" s="16"/>
      <c r="M33" s="48"/>
      <c r="N33" s="100"/>
    </row>
    <row r="34" spans="1:14" x14ac:dyDescent="0.25">
      <c r="A34" s="97">
        <v>43000</v>
      </c>
      <c r="B34" s="2"/>
      <c r="C34" s="16" t="s">
        <v>162</v>
      </c>
      <c r="D34" s="49"/>
      <c r="E34" s="2" t="str">
        <f>VLOOKUP(A34,'MASTER AKUN'!$A$8:$C$72,2,FALSE)</f>
        <v>Potongan Penjualan</v>
      </c>
      <c r="F34" s="2"/>
      <c r="G34" s="6">
        <f>H35*2%</f>
        <v>300000</v>
      </c>
      <c r="H34" s="6"/>
      <c r="I34" s="2"/>
      <c r="J34" s="46"/>
      <c r="K34" s="46"/>
      <c r="L34" s="2"/>
      <c r="M34" s="46"/>
      <c r="N34" s="98"/>
    </row>
    <row r="35" spans="1:14" ht="15.75" thickBot="1" x14ac:dyDescent="0.3">
      <c r="A35" s="97">
        <v>11301</v>
      </c>
      <c r="B35" s="44"/>
      <c r="C35" s="44" t="s">
        <v>162</v>
      </c>
      <c r="D35" s="54" t="s">
        <v>101</v>
      </c>
      <c r="E35" s="44" t="str">
        <f>VLOOKUP(A35,'MASTER AKUN'!$A$8:$C$72,2,FALSE)</f>
        <v xml:space="preserve">Piutang Usaha </v>
      </c>
      <c r="F35" s="44"/>
      <c r="G35" s="121"/>
      <c r="H35" s="121">
        <v>15000000</v>
      </c>
      <c r="I35" s="44"/>
      <c r="J35" s="47"/>
      <c r="K35" s="47"/>
      <c r="L35" s="44"/>
      <c r="M35" s="47"/>
      <c r="N35" s="99"/>
    </row>
    <row r="36" spans="1:14" x14ac:dyDescent="0.25">
      <c r="A36" s="97">
        <v>11202</v>
      </c>
      <c r="B36" s="45">
        <v>38726</v>
      </c>
      <c r="C36" s="16" t="s">
        <v>163</v>
      </c>
      <c r="D36" s="53"/>
      <c r="E36" s="16" t="str">
        <f>VLOOKUP(A36,'MASTER AKUN'!$A$8:$C$72,2,FALSE)</f>
        <v>Bank Mandiri</v>
      </c>
      <c r="F36" s="16"/>
      <c r="G36" s="23">
        <f>H38-G37</f>
        <v>9800000</v>
      </c>
      <c r="H36" s="23"/>
      <c r="I36" s="16"/>
      <c r="J36" s="48"/>
      <c r="K36" s="48"/>
      <c r="L36" s="16"/>
      <c r="M36" s="48"/>
      <c r="N36" s="100"/>
    </row>
    <row r="37" spans="1:14" x14ac:dyDescent="0.25">
      <c r="A37" s="97">
        <v>43000</v>
      </c>
      <c r="B37" s="2"/>
      <c r="C37" s="16" t="s">
        <v>163</v>
      </c>
      <c r="D37" s="49"/>
      <c r="E37" s="2" t="str">
        <f>VLOOKUP(A37,'MASTER AKUN'!$A$8:$C$72,2,FALSE)</f>
        <v>Potongan Penjualan</v>
      </c>
      <c r="F37" s="2"/>
      <c r="G37" s="6">
        <f>H38*2%</f>
        <v>200000</v>
      </c>
      <c r="H37" s="6"/>
      <c r="I37" s="2"/>
      <c r="J37" s="46"/>
      <c r="K37" s="46"/>
      <c r="L37" s="2"/>
      <c r="M37" s="46"/>
      <c r="N37" s="98"/>
    </row>
    <row r="38" spans="1:14" ht="15.75" thickBot="1" x14ac:dyDescent="0.3">
      <c r="A38" s="97">
        <v>11301</v>
      </c>
      <c r="B38" s="44"/>
      <c r="C38" s="44" t="s">
        <v>163</v>
      </c>
      <c r="D38" s="50" t="s">
        <v>99</v>
      </c>
      <c r="E38" s="44" t="str">
        <f>VLOOKUP(A38,'MASTER AKUN'!$A$8:$C$72,2,FALSE)</f>
        <v xml:space="preserve">Piutang Usaha </v>
      </c>
      <c r="F38" s="44"/>
      <c r="G38" s="121"/>
      <c r="H38" s="121">
        <v>10000000</v>
      </c>
      <c r="I38" s="44"/>
      <c r="J38" s="47"/>
      <c r="K38" s="47"/>
      <c r="L38" s="44"/>
      <c r="M38" s="47"/>
      <c r="N38" s="99"/>
    </row>
    <row r="39" spans="1:14" x14ac:dyDescent="0.25">
      <c r="A39" s="97">
        <v>61002</v>
      </c>
      <c r="B39" s="45">
        <v>38727</v>
      </c>
      <c r="C39" s="16" t="s">
        <v>164</v>
      </c>
      <c r="D39" s="53"/>
      <c r="E39" s="16" t="str">
        <f>VLOOKUP(A39,'MASTER AKUN'!$A$8:$C$72,2,FALSE)</f>
        <v>Beban Sewa</v>
      </c>
      <c r="F39" s="16"/>
      <c r="G39" s="23">
        <v>2500000</v>
      </c>
      <c r="H39" s="23"/>
      <c r="I39" s="16"/>
      <c r="J39" s="48"/>
      <c r="K39" s="48"/>
      <c r="L39" s="16"/>
      <c r="M39" s="48"/>
      <c r="N39" s="100"/>
    </row>
    <row r="40" spans="1:14" x14ac:dyDescent="0.25">
      <c r="A40" s="97">
        <v>11601</v>
      </c>
      <c r="B40" s="2"/>
      <c r="C40" s="16" t="s">
        <v>164</v>
      </c>
      <c r="D40" s="49"/>
      <c r="E40" s="2" t="str">
        <f>VLOOKUP(A40,'MASTER AKUN'!$A$8:$C$72,2,FALSE)</f>
        <v>PPN Masukan</v>
      </c>
      <c r="F40" s="2"/>
      <c r="G40" s="6">
        <f>G39*10%</f>
        <v>250000</v>
      </c>
      <c r="H40" s="6"/>
      <c r="I40" s="2"/>
      <c r="J40" s="46"/>
      <c r="K40" s="46"/>
      <c r="L40" s="2"/>
      <c r="M40" s="46"/>
      <c r="N40" s="98"/>
    </row>
    <row r="41" spans="1:14" x14ac:dyDescent="0.25">
      <c r="A41" s="97">
        <v>21402</v>
      </c>
      <c r="B41" s="2"/>
      <c r="C41" s="16" t="s">
        <v>164</v>
      </c>
      <c r="D41" s="49"/>
      <c r="E41" s="2" t="str">
        <f>VLOOKUP(A41,'MASTER AKUN'!$A$8:$C$72,2,FALSE)</f>
        <v>Utang PPh Pasal 4</v>
      </c>
      <c r="F41" s="2"/>
      <c r="G41" s="6"/>
      <c r="H41" s="6">
        <f>G39*10%</f>
        <v>250000</v>
      </c>
      <c r="I41" s="2"/>
      <c r="J41" s="46"/>
      <c r="K41" s="46"/>
      <c r="L41" s="2"/>
      <c r="M41" s="46"/>
      <c r="N41" s="98"/>
    </row>
    <row r="42" spans="1:14" ht="15.75" thickBot="1" x14ac:dyDescent="0.3">
      <c r="A42" s="97">
        <v>11202</v>
      </c>
      <c r="B42" s="44"/>
      <c r="C42" s="44" t="s">
        <v>164</v>
      </c>
      <c r="D42" s="50"/>
      <c r="E42" s="44" t="str">
        <f>VLOOKUP(A42,'MASTER AKUN'!$A$8:$C$72,2,FALSE)</f>
        <v>Bank Mandiri</v>
      </c>
      <c r="F42" s="44"/>
      <c r="G42" s="121"/>
      <c r="H42" s="121">
        <f>G39+G40-H41</f>
        <v>2500000</v>
      </c>
      <c r="I42" s="44"/>
      <c r="J42" s="47"/>
      <c r="K42" s="47"/>
      <c r="L42" s="44"/>
      <c r="M42" s="47"/>
      <c r="N42" s="99"/>
    </row>
    <row r="43" spans="1:14" x14ac:dyDescent="0.25">
      <c r="A43" s="97">
        <v>42000</v>
      </c>
      <c r="B43" s="45">
        <v>38728</v>
      </c>
      <c r="C43" s="16" t="s">
        <v>168</v>
      </c>
      <c r="D43" s="53"/>
      <c r="E43" s="16" t="str">
        <f>VLOOKUP(A43,'MASTER AKUN'!$A$8:$C$72,2,FALSE)</f>
        <v>Retur Penjualan</v>
      </c>
      <c r="F43" s="16"/>
      <c r="G43" s="23">
        <v>375000</v>
      </c>
      <c r="H43" s="23"/>
      <c r="I43" s="16"/>
      <c r="J43" s="48"/>
      <c r="K43" s="48"/>
      <c r="L43" s="16"/>
      <c r="M43" s="48"/>
      <c r="N43" s="100"/>
    </row>
    <row r="44" spans="1:14" x14ac:dyDescent="0.25">
      <c r="A44" s="97">
        <v>21403</v>
      </c>
      <c r="B44" s="2"/>
      <c r="C44" s="16" t="s">
        <v>168</v>
      </c>
      <c r="D44" s="49"/>
      <c r="E44" s="2" t="str">
        <f>VLOOKUP(A44,'MASTER AKUN'!$A$8:$C$72,2,FALSE)</f>
        <v>PPN Keluaran</v>
      </c>
      <c r="F44" s="2"/>
      <c r="G44" s="6">
        <f>G43*10%</f>
        <v>37500</v>
      </c>
      <c r="H44" s="6"/>
      <c r="I44" s="2"/>
      <c r="J44" s="46"/>
      <c r="K44" s="46"/>
      <c r="L44" s="2"/>
      <c r="M44" s="46"/>
      <c r="N44" s="98"/>
    </row>
    <row r="45" spans="1:14" x14ac:dyDescent="0.25">
      <c r="A45" s="97">
        <v>11101</v>
      </c>
      <c r="B45" s="2"/>
      <c r="C45" s="16" t="s">
        <v>168</v>
      </c>
      <c r="D45" s="49"/>
      <c r="E45" s="2" t="str">
        <f>VLOOKUP(A45,'MASTER AKUN'!$A$8:$C$72,2,FALSE)</f>
        <v>Kas Di Tangan</v>
      </c>
      <c r="F45" s="2"/>
      <c r="G45" s="6"/>
      <c r="H45" s="6">
        <f>G43+G44</f>
        <v>412500</v>
      </c>
      <c r="I45" s="2"/>
      <c r="J45" s="46"/>
      <c r="K45" s="46"/>
      <c r="L45" s="2"/>
      <c r="M45" s="46"/>
      <c r="N45" s="98"/>
    </row>
    <row r="46" spans="1:14" x14ac:dyDescent="0.25">
      <c r="A46" s="97">
        <v>11500</v>
      </c>
      <c r="B46" s="2"/>
      <c r="C46" s="16" t="s">
        <v>168</v>
      </c>
      <c r="D46" s="49" t="s">
        <v>79</v>
      </c>
      <c r="E46" s="2" t="str">
        <f>VLOOKUP(A46,'MASTER AKUN'!$A$8:$C$72,2,FALSE)</f>
        <v>PERSEDIAAN BARANG DAGANGAN</v>
      </c>
      <c r="F46" s="2"/>
      <c r="G46" s="6">
        <v>325000</v>
      </c>
      <c r="H46" s="6"/>
      <c r="I46" s="2"/>
      <c r="J46" s="46"/>
      <c r="K46" s="46"/>
      <c r="L46" s="2">
        <v>-1</v>
      </c>
      <c r="M46" s="46">
        <v>325000</v>
      </c>
      <c r="N46" s="98">
        <f>L46*M46</f>
        <v>-325000</v>
      </c>
    </row>
    <row r="47" spans="1:14" ht="15.75" thickBot="1" x14ac:dyDescent="0.3">
      <c r="A47" s="97">
        <v>51000</v>
      </c>
      <c r="B47" s="44"/>
      <c r="C47" s="44" t="s">
        <v>168</v>
      </c>
      <c r="D47" s="50"/>
      <c r="E47" s="44" t="str">
        <f>VLOOKUP(A47,'MASTER AKUN'!$A$8:$C$72,2,FALSE)</f>
        <v>Harga Pokok Penjualan</v>
      </c>
      <c r="F47" s="44"/>
      <c r="G47" s="121"/>
      <c r="H47" s="121">
        <v>325000</v>
      </c>
      <c r="I47" s="44"/>
      <c r="J47" s="47"/>
      <c r="K47" s="47"/>
      <c r="L47" s="44"/>
      <c r="M47" s="47"/>
      <c r="N47" s="99"/>
    </row>
    <row r="48" spans="1:14" x14ac:dyDescent="0.25">
      <c r="A48" s="97">
        <v>11202</v>
      </c>
      <c r="B48" s="45">
        <v>38730</v>
      </c>
      <c r="C48" s="16" t="s">
        <v>169</v>
      </c>
      <c r="D48" s="53"/>
      <c r="E48" s="16" t="str">
        <f>VLOOKUP(A48,'MASTER AKUN'!$A$8:$C$72,2,FALSE)</f>
        <v>Bank Mandiri</v>
      </c>
      <c r="F48" s="16"/>
      <c r="G48" s="23">
        <f>H49</f>
        <v>7500000</v>
      </c>
      <c r="H48" s="23"/>
      <c r="I48" s="16"/>
      <c r="J48" s="48"/>
      <c r="K48" s="48"/>
      <c r="L48" s="16"/>
      <c r="M48" s="48"/>
      <c r="N48" s="100"/>
    </row>
    <row r="49" spans="1:14" ht="15.75" thickBot="1" x14ac:dyDescent="0.3">
      <c r="A49" s="97">
        <v>11301</v>
      </c>
      <c r="B49" s="44"/>
      <c r="C49" s="44" t="s">
        <v>169</v>
      </c>
      <c r="D49" s="54" t="s">
        <v>103</v>
      </c>
      <c r="E49" s="44" t="str">
        <f>VLOOKUP(A49,'MASTER AKUN'!$A$8:$C$72,2,FALSE)</f>
        <v xml:space="preserve">Piutang Usaha </v>
      </c>
      <c r="F49" s="44"/>
      <c r="G49" s="121"/>
      <c r="H49" s="121">
        <v>7500000</v>
      </c>
      <c r="I49" s="44"/>
      <c r="J49" s="47"/>
      <c r="K49" s="47"/>
      <c r="L49" s="44"/>
      <c r="M49" s="47"/>
      <c r="N49" s="99"/>
    </row>
    <row r="50" spans="1:14" x14ac:dyDescent="0.25">
      <c r="A50" s="97">
        <v>61004</v>
      </c>
      <c r="B50" s="45">
        <v>38735</v>
      </c>
      <c r="C50" s="16" t="s">
        <v>170</v>
      </c>
      <c r="D50" s="53"/>
      <c r="E50" s="16" t="str">
        <f>VLOOKUP(A50,'MASTER AKUN'!$A$8:$C$72,2,FALSE)</f>
        <v>Beban Listrik</v>
      </c>
      <c r="F50" s="16"/>
      <c r="G50" s="23">
        <v>175000</v>
      </c>
      <c r="H50" s="23"/>
      <c r="I50" s="16"/>
      <c r="J50" s="48"/>
      <c r="K50" s="48"/>
      <c r="L50" s="16"/>
      <c r="M50" s="48"/>
      <c r="N50" s="100"/>
    </row>
    <row r="51" spans="1:14" x14ac:dyDescent="0.25">
      <c r="A51" s="97">
        <v>61005</v>
      </c>
      <c r="B51" s="2"/>
      <c r="C51" s="16" t="s">
        <v>170</v>
      </c>
      <c r="D51" s="49"/>
      <c r="E51" s="2" t="str">
        <f>VLOOKUP(A51,'MASTER AKUN'!$A$8:$C$72,2,FALSE)</f>
        <v>Beban Telepon</v>
      </c>
      <c r="F51" s="2"/>
      <c r="G51" s="6">
        <v>212500</v>
      </c>
      <c r="H51" s="6"/>
      <c r="I51" s="2"/>
      <c r="J51" s="46"/>
      <c r="K51" s="46"/>
      <c r="L51" s="2"/>
      <c r="M51" s="46"/>
      <c r="N51" s="98"/>
    </row>
    <row r="52" spans="1:14" ht="15.75" thickBot="1" x14ac:dyDescent="0.3">
      <c r="A52" s="97">
        <v>11202</v>
      </c>
      <c r="B52" s="44"/>
      <c r="C52" s="44" t="s">
        <v>170</v>
      </c>
      <c r="D52" s="50"/>
      <c r="E52" s="44" t="str">
        <f>VLOOKUP(A52,'MASTER AKUN'!$A$8:$C$72,2,FALSE)</f>
        <v>Bank Mandiri</v>
      </c>
      <c r="F52" s="44"/>
      <c r="G52" s="121"/>
      <c r="H52" s="121">
        <f>SUM(G50:G51)</f>
        <v>387500</v>
      </c>
      <c r="I52" s="44"/>
      <c r="J52" s="47"/>
      <c r="K52" s="47"/>
      <c r="L52" s="44"/>
      <c r="M52" s="47"/>
      <c r="N52" s="99"/>
    </row>
    <row r="53" spans="1:14" x14ac:dyDescent="0.25">
      <c r="A53" s="97">
        <v>12201</v>
      </c>
      <c r="B53" s="45">
        <v>38738</v>
      </c>
      <c r="C53" s="16" t="s">
        <v>171</v>
      </c>
      <c r="D53" s="53"/>
      <c r="E53" s="16" t="str">
        <f>VLOOKUP(A53,'MASTER AKUN'!$A$8:$C$72,2,FALSE)</f>
        <v>Kendaraan</v>
      </c>
      <c r="F53" s="16"/>
      <c r="G53" s="23">
        <v>11500000</v>
      </c>
      <c r="H53" s="23"/>
      <c r="I53" s="16"/>
      <c r="J53" s="48"/>
      <c r="K53" s="48"/>
      <c r="L53" s="16"/>
      <c r="M53" s="48"/>
      <c r="N53" s="100"/>
    </row>
    <row r="54" spans="1:14" ht="15.75" thickBot="1" x14ac:dyDescent="0.3">
      <c r="A54" s="97">
        <v>11201</v>
      </c>
      <c r="B54" s="44"/>
      <c r="C54" s="44" t="s">
        <v>171</v>
      </c>
      <c r="D54" s="50"/>
      <c r="E54" s="44" t="str">
        <f>VLOOKUP(A54,'MASTER AKUN'!$A$8:$C$72,2,FALSE)</f>
        <v>Bank BCA</v>
      </c>
      <c r="F54" s="44"/>
      <c r="G54" s="121"/>
      <c r="H54" s="121">
        <f>G53</f>
        <v>11500000</v>
      </c>
      <c r="I54" s="44"/>
      <c r="J54" s="47"/>
      <c r="K54" s="47"/>
      <c r="L54" s="44"/>
      <c r="M54" s="47"/>
      <c r="N54" s="99"/>
    </row>
    <row r="55" spans="1:14" x14ac:dyDescent="0.25">
      <c r="A55" s="97">
        <v>11301</v>
      </c>
      <c r="B55" s="45">
        <v>38739</v>
      </c>
      <c r="C55" s="16" t="s">
        <v>172</v>
      </c>
      <c r="D55" s="53" t="s">
        <v>101</v>
      </c>
      <c r="E55" s="16" t="str">
        <f>VLOOKUP(A55,'MASTER AKUN'!$A$8:$C$72,2,FALSE)</f>
        <v xml:space="preserve">Piutang Usaha </v>
      </c>
      <c r="F55" s="16"/>
      <c r="G55" s="23">
        <f>SUM(H56:H57)</f>
        <v>29425000</v>
      </c>
      <c r="H55" s="23"/>
      <c r="I55" s="16"/>
      <c r="J55" s="48"/>
      <c r="K55" s="48"/>
      <c r="L55" s="16"/>
      <c r="M55" s="48"/>
      <c r="N55" s="100"/>
    </row>
    <row r="56" spans="1:14" x14ac:dyDescent="0.25">
      <c r="A56" s="97">
        <v>41000</v>
      </c>
      <c r="B56" s="45"/>
      <c r="C56" s="16" t="s">
        <v>172</v>
      </c>
      <c r="D56" s="53"/>
      <c r="E56" s="2" t="str">
        <f>VLOOKUP(A56,'MASTER AKUN'!$A$8:$C$72,2,FALSE)</f>
        <v>Penjualan</v>
      </c>
      <c r="F56" s="2"/>
      <c r="G56" s="23"/>
      <c r="H56" s="23">
        <v>26750000</v>
      </c>
      <c r="I56" s="16"/>
      <c r="J56" s="48"/>
      <c r="K56" s="48"/>
      <c r="L56" s="16"/>
      <c r="M56" s="48"/>
      <c r="N56" s="100"/>
    </row>
    <row r="57" spans="1:14" x14ac:dyDescent="0.25">
      <c r="A57" s="97">
        <v>21403</v>
      </c>
      <c r="B57" s="2"/>
      <c r="C57" s="16" t="s">
        <v>172</v>
      </c>
      <c r="D57" s="49"/>
      <c r="E57" s="2" t="str">
        <f>VLOOKUP(A57,'MASTER AKUN'!$A$8:$C$72,2,FALSE)</f>
        <v>PPN Keluaran</v>
      </c>
      <c r="F57" s="2"/>
      <c r="G57" s="6"/>
      <c r="H57" s="6">
        <f>H56*10%</f>
        <v>2675000</v>
      </c>
      <c r="I57" s="2"/>
      <c r="J57" s="46"/>
      <c r="K57" s="46"/>
      <c r="L57" s="2"/>
      <c r="M57" s="46"/>
      <c r="N57" s="98"/>
    </row>
    <row r="58" spans="1:14" x14ac:dyDescent="0.25">
      <c r="A58" s="97">
        <v>51000</v>
      </c>
      <c r="B58" s="2"/>
      <c r="C58" s="16" t="s">
        <v>172</v>
      </c>
      <c r="D58" s="49"/>
      <c r="E58" s="2" t="str">
        <f>VLOOKUP(A58,'MASTER AKUN'!$A$8:$C$72,2,FALSE)</f>
        <v>Harga Pokok Penjualan</v>
      </c>
      <c r="F58" s="2"/>
      <c r="G58" s="6">
        <f>SUM(H59:H61)</f>
        <v>21940000</v>
      </c>
      <c r="H58" s="6"/>
      <c r="I58" s="2"/>
      <c r="J58" s="46"/>
      <c r="K58" s="46"/>
      <c r="L58" s="2"/>
      <c r="M58" s="46"/>
      <c r="N58" s="98"/>
    </row>
    <row r="59" spans="1:14" x14ac:dyDescent="0.25">
      <c r="A59" s="97">
        <v>11500</v>
      </c>
      <c r="B59" s="2"/>
      <c r="C59" s="16" t="s">
        <v>172</v>
      </c>
      <c r="D59" s="49" t="s">
        <v>81</v>
      </c>
      <c r="E59" s="2" t="str">
        <f>VLOOKUP(A59,'MASTER AKUN'!$A$8:$C$72,2,FALSE)</f>
        <v>PERSEDIAAN BARANG DAGANGAN</v>
      </c>
      <c r="F59" s="2"/>
      <c r="G59" s="6"/>
      <c r="H59" s="6">
        <v>7000000</v>
      </c>
      <c r="I59" s="2"/>
      <c r="J59" s="46"/>
      <c r="K59" s="46"/>
      <c r="L59" s="2">
        <v>5</v>
      </c>
      <c r="M59" s="46">
        <v>1400000</v>
      </c>
      <c r="N59" s="98">
        <f>L59*M59</f>
        <v>7000000</v>
      </c>
    </row>
    <row r="60" spans="1:14" x14ac:dyDescent="0.25">
      <c r="A60" s="97">
        <v>11500</v>
      </c>
      <c r="B60" s="2"/>
      <c r="C60" s="16" t="s">
        <v>172</v>
      </c>
      <c r="D60" s="49" t="s">
        <v>85</v>
      </c>
      <c r="E60" s="2" t="str">
        <f>VLOOKUP(A60,'MASTER AKUN'!$A$8:$C$72,2,FALSE)</f>
        <v>PERSEDIAAN BARANG DAGANGAN</v>
      </c>
      <c r="F60" s="2"/>
      <c r="G60" s="6"/>
      <c r="H60" s="6">
        <v>11400000</v>
      </c>
      <c r="I60" s="2"/>
      <c r="J60" s="46"/>
      <c r="K60" s="46"/>
      <c r="L60" s="2">
        <v>4</v>
      </c>
      <c r="M60" s="46">
        <v>2850000</v>
      </c>
      <c r="N60" s="98">
        <f t="shared" ref="N60:N61" si="0">L60*M60</f>
        <v>11400000</v>
      </c>
    </row>
    <row r="61" spans="1:14" ht="15.75" thickBot="1" x14ac:dyDescent="0.3">
      <c r="A61" s="97">
        <v>11500</v>
      </c>
      <c r="B61" s="44"/>
      <c r="C61" s="44" t="s">
        <v>172</v>
      </c>
      <c r="D61" s="50" t="s">
        <v>87</v>
      </c>
      <c r="E61" s="44" t="str">
        <f>VLOOKUP(A61,'MASTER AKUN'!$A$8:$C$72,2,FALSE)</f>
        <v>PERSEDIAAN BARANG DAGANGAN</v>
      </c>
      <c r="F61" s="44"/>
      <c r="G61" s="121"/>
      <c r="H61" s="121">
        <v>3540000</v>
      </c>
      <c r="I61" s="44"/>
      <c r="J61" s="47"/>
      <c r="K61" s="47"/>
      <c r="L61" s="44">
        <v>6</v>
      </c>
      <c r="M61" s="47">
        <v>590000</v>
      </c>
      <c r="N61" s="98">
        <f t="shared" si="0"/>
        <v>3540000</v>
      </c>
    </row>
    <row r="62" spans="1:14" x14ac:dyDescent="0.25">
      <c r="A62" s="97">
        <v>11301</v>
      </c>
      <c r="B62" s="45">
        <v>38740</v>
      </c>
      <c r="C62" s="16" t="s">
        <v>173</v>
      </c>
      <c r="D62" s="53" t="s">
        <v>99</v>
      </c>
      <c r="E62" s="16" t="str">
        <f>VLOOKUP(A62,'MASTER AKUN'!$A$8:$C$72,2,FALSE)</f>
        <v xml:space="preserve">Piutang Usaha </v>
      </c>
      <c r="F62" s="16"/>
      <c r="G62" s="23">
        <f>H63+H64-G65</f>
        <v>30535000</v>
      </c>
      <c r="H62" s="23"/>
      <c r="I62" s="16"/>
      <c r="J62" s="48"/>
      <c r="K62" s="48"/>
      <c r="L62" s="16"/>
      <c r="M62" s="48"/>
      <c r="N62" s="100"/>
    </row>
    <row r="63" spans="1:14" x14ac:dyDescent="0.25">
      <c r="A63" s="97">
        <v>41000</v>
      </c>
      <c r="B63" s="2"/>
      <c r="C63" s="16" t="s">
        <v>173</v>
      </c>
      <c r="D63" s="49"/>
      <c r="E63" s="2" t="str">
        <f>VLOOKUP(A63,'MASTER AKUN'!$A$8:$C$72,2,FALSE)</f>
        <v>Penjualan</v>
      </c>
      <c r="F63" s="2"/>
      <c r="G63" s="6"/>
      <c r="H63" s="6">
        <v>36850000</v>
      </c>
      <c r="I63" s="2"/>
      <c r="J63" s="46"/>
      <c r="K63" s="46"/>
      <c r="L63" s="2"/>
      <c r="M63" s="46"/>
      <c r="N63" s="98"/>
    </row>
    <row r="64" spans="1:14" x14ac:dyDescent="0.25">
      <c r="A64" s="97">
        <v>21403</v>
      </c>
      <c r="B64" s="2"/>
      <c r="C64" s="16" t="s">
        <v>173</v>
      </c>
      <c r="D64" s="49"/>
      <c r="E64" s="2" t="str">
        <f>VLOOKUP(A64,'MASTER AKUN'!$A$8:$C$72,2,FALSE)</f>
        <v>PPN Keluaran</v>
      </c>
      <c r="F64" s="2"/>
      <c r="G64" s="6"/>
      <c r="H64" s="6">
        <f>H63*10%</f>
        <v>3685000</v>
      </c>
      <c r="I64" s="2"/>
      <c r="J64" s="46"/>
      <c r="K64" s="46"/>
      <c r="L64" s="2"/>
      <c r="M64" s="46"/>
      <c r="N64" s="98"/>
    </row>
    <row r="65" spans="1:14" x14ac:dyDescent="0.25">
      <c r="A65" s="97">
        <v>11202</v>
      </c>
      <c r="B65" s="2"/>
      <c r="C65" s="16" t="s">
        <v>173</v>
      </c>
      <c r="D65" s="49"/>
      <c r="E65" s="2" t="str">
        <f>VLOOKUP(A65,'MASTER AKUN'!$A$8:$C$72,2,FALSE)</f>
        <v>Bank Mandiri</v>
      </c>
      <c r="F65" s="2"/>
      <c r="G65" s="6">
        <v>10000000</v>
      </c>
      <c r="H65" s="6"/>
      <c r="I65" s="2"/>
      <c r="J65" s="46"/>
      <c r="K65" s="46"/>
      <c r="L65" s="2"/>
      <c r="M65" s="46"/>
      <c r="N65" s="98"/>
    </row>
    <row r="66" spans="1:14" x14ac:dyDescent="0.25">
      <c r="A66" s="97">
        <v>51000</v>
      </c>
      <c r="B66" s="2"/>
      <c r="C66" s="16" t="s">
        <v>173</v>
      </c>
      <c r="D66" s="49"/>
      <c r="E66" s="2" t="str">
        <f>VLOOKUP(A66,'MASTER AKUN'!$A$8:$C$72,2,FALSE)</f>
        <v>Harga Pokok Penjualan</v>
      </c>
      <c r="F66" s="2"/>
      <c r="G66" s="6">
        <f>SUM(H67:H69)</f>
        <v>29150000</v>
      </c>
      <c r="H66" s="6"/>
      <c r="I66" s="2"/>
      <c r="J66" s="46"/>
      <c r="K66" s="46"/>
      <c r="L66" s="2"/>
      <c r="M66" s="46"/>
      <c r="N66" s="98"/>
    </row>
    <row r="67" spans="1:14" x14ac:dyDescent="0.25">
      <c r="A67" s="97">
        <v>11500</v>
      </c>
      <c r="B67" s="2"/>
      <c r="C67" s="16" t="s">
        <v>173</v>
      </c>
      <c r="D67" s="49" t="s">
        <v>89</v>
      </c>
      <c r="E67" s="2" t="str">
        <f>VLOOKUP(A67,'MASTER AKUN'!$A$8:$C$72,2,FALSE)</f>
        <v>PERSEDIAAN BARANG DAGANGAN</v>
      </c>
      <c r="F67" s="2"/>
      <c r="G67" s="6"/>
      <c r="H67" s="6">
        <v>7800000</v>
      </c>
      <c r="I67" s="2"/>
      <c r="J67" s="46"/>
      <c r="K67" s="46"/>
      <c r="L67" s="2">
        <v>6</v>
      </c>
      <c r="M67" s="46">
        <v>1300000</v>
      </c>
      <c r="N67" s="98">
        <f>L67*M67</f>
        <v>7800000</v>
      </c>
    </row>
    <row r="68" spans="1:14" x14ac:dyDescent="0.25">
      <c r="A68" s="97">
        <v>11500</v>
      </c>
      <c r="B68" s="2"/>
      <c r="C68" s="16" t="s">
        <v>173</v>
      </c>
      <c r="D68" s="49" t="s">
        <v>91</v>
      </c>
      <c r="E68" s="2" t="str">
        <f>VLOOKUP(A68,'MASTER AKUN'!$A$8:$C$72,2,FALSE)</f>
        <v>PERSEDIAAN BARANG DAGANGAN</v>
      </c>
      <c r="F68" s="2"/>
      <c r="G68" s="6"/>
      <c r="H68" s="6">
        <v>14000000</v>
      </c>
      <c r="I68" s="2"/>
      <c r="J68" s="46"/>
      <c r="K68" s="46"/>
      <c r="L68" s="2">
        <v>8</v>
      </c>
      <c r="M68" s="46">
        <v>1750000</v>
      </c>
      <c r="N68" s="98">
        <f t="shared" ref="N68:N69" si="1">L68*M68</f>
        <v>14000000</v>
      </c>
    </row>
    <row r="69" spans="1:14" ht="15.75" thickBot="1" x14ac:dyDescent="0.3">
      <c r="A69" s="97">
        <v>11500</v>
      </c>
      <c r="B69" s="44"/>
      <c r="C69" s="44" t="s">
        <v>173</v>
      </c>
      <c r="D69" s="50" t="s">
        <v>93</v>
      </c>
      <c r="E69" s="44" t="str">
        <f>VLOOKUP(A69,'MASTER AKUN'!$A$8:$C$72,2,FALSE)</f>
        <v>PERSEDIAAN BARANG DAGANGAN</v>
      </c>
      <c r="F69" s="44"/>
      <c r="G69" s="121"/>
      <c r="H69" s="121">
        <v>7350000</v>
      </c>
      <c r="I69" s="44"/>
      <c r="J69" s="47"/>
      <c r="K69" s="47"/>
      <c r="L69" s="44">
        <v>7</v>
      </c>
      <c r="M69" s="47">
        <v>1050000</v>
      </c>
      <c r="N69" s="98">
        <f t="shared" si="1"/>
        <v>7350000</v>
      </c>
    </row>
    <row r="70" spans="1:14" x14ac:dyDescent="0.25">
      <c r="A70" s="97">
        <v>42000</v>
      </c>
      <c r="B70" s="45">
        <v>38741</v>
      </c>
      <c r="C70" s="16" t="s">
        <v>174</v>
      </c>
      <c r="D70" s="53"/>
      <c r="E70" s="16" t="str">
        <f>VLOOKUP(A70,'MASTER AKUN'!$A$8:$C$72,2,FALSE)</f>
        <v>Retur Penjualan</v>
      </c>
      <c r="F70" s="16"/>
      <c r="G70" s="23">
        <v>1750000</v>
      </c>
      <c r="H70" s="23"/>
      <c r="I70" s="16"/>
      <c r="J70" s="48"/>
      <c r="K70" s="48"/>
      <c r="L70" s="16"/>
      <c r="M70" s="48"/>
      <c r="N70" s="100"/>
    </row>
    <row r="71" spans="1:14" x14ac:dyDescent="0.25">
      <c r="A71" s="97">
        <v>21403</v>
      </c>
      <c r="B71" s="2"/>
      <c r="C71" s="16" t="s">
        <v>174</v>
      </c>
      <c r="D71" s="49"/>
      <c r="E71" s="2" t="str">
        <f>VLOOKUP(A71,'MASTER AKUN'!$A$8:$C$72,2,FALSE)</f>
        <v>PPN Keluaran</v>
      </c>
      <c r="F71" s="2"/>
      <c r="G71" s="6">
        <f>G70*10%</f>
        <v>175000</v>
      </c>
      <c r="H71" s="6"/>
      <c r="I71" s="2"/>
      <c r="J71" s="46"/>
      <c r="K71" s="46"/>
      <c r="L71" s="2"/>
      <c r="M71" s="46"/>
      <c r="N71" s="98"/>
    </row>
    <row r="72" spans="1:14" x14ac:dyDescent="0.25">
      <c r="A72" s="97">
        <v>11301</v>
      </c>
      <c r="B72" s="2"/>
      <c r="C72" s="16" t="s">
        <v>174</v>
      </c>
      <c r="D72" s="49" t="s">
        <v>101</v>
      </c>
      <c r="E72" s="2" t="str">
        <f>VLOOKUP(A72,'MASTER AKUN'!$A$8:$C$72,2,FALSE)</f>
        <v xml:space="preserve">Piutang Usaha </v>
      </c>
      <c r="F72" s="2"/>
      <c r="G72" s="6"/>
      <c r="H72" s="6">
        <f>SUM(G70:G71)</f>
        <v>1925000</v>
      </c>
      <c r="I72" s="2"/>
      <c r="J72" s="46"/>
      <c r="K72" s="46"/>
      <c r="L72" s="2"/>
      <c r="M72" s="46"/>
      <c r="N72" s="98"/>
    </row>
    <row r="73" spans="1:14" x14ac:dyDescent="0.25">
      <c r="A73" s="97">
        <v>11500</v>
      </c>
      <c r="B73" s="2"/>
      <c r="C73" s="16" t="s">
        <v>174</v>
      </c>
      <c r="D73" s="49" t="s">
        <v>81</v>
      </c>
      <c r="E73" s="2" t="str">
        <f>VLOOKUP(A73,'MASTER AKUN'!$A$8:$C$72,2,FALSE)</f>
        <v>PERSEDIAAN BARANG DAGANGAN</v>
      </c>
      <c r="F73" s="2"/>
      <c r="G73" s="6">
        <v>1400000</v>
      </c>
      <c r="H73" s="6"/>
      <c r="I73" s="2"/>
      <c r="J73" s="46"/>
      <c r="K73" s="46"/>
      <c r="L73" s="2">
        <v>-1</v>
      </c>
      <c r="M73" s="46">
        <v>1400000</v>
      </c>
      <c r="N73" s="98">
        <f>L73*M73</f>
        <v>-1400000</v>
      </c>
    </row>
    <row r="74" spans="1:14" ht="15.75" thickBot="1" x14ac:dyDescent="0.3">
      <c r="A74" s="97">
        <v>51000</v>
      </c>
      <c r="B74" s="2"/>
      <c r="C74" s="44" t="s">
        <v>174</v>
      </c>
      <c r="D74" s="50"/>
      <c r="E74" s="44" t="str">
        <f>VLOOKUP(A74,'MASTER AKUN'!$A$8:$C$72,2,FALSE)</f>
        <v>Harga Pokok Penjualan</v>
      </c>
      <c r="F74" s="44"/>
      <c r="G74" s="121"/>
      <c r="H74" s="121">
        <v>1400000</v>
      </c>
      <c r="I74" s="44"/>
      <c r="J74" s="47"/>
      <c r="K74" s="47"/>
      <c r="L74" s="44"/>
      <c r="M74" s="47"/>
      <c r="N74" s="99"/>
    </row>
    <row r="75" spans="1:14" x14ac:dyDescent="0.25">
      <c r="A75" s="97">
        <v>11202</v>
      </c>
      <c r="B75" s="45">
        <v>38743</v>
      </c>
      <c r="C75" s="16" t="s">
        <v>175</v>
      </c>
      <c r="D75" s="53"/>
      <c r="E75" s="16" t="str">
        <f>VLOOKUP(A75,'MASTER AKUN'!$A$8:$C$72,2,FALSE)</f>
        <v>Bank Mandiri</v>
      </c>
      <c r="F75" s="16"/>
      <c r="G75" s="23">
        <f>H78+H77-G76</f>
        <v>30049000</v>
      </c>
      <c r="H75" s="23"/>
      <c r="I75" s="16"/>
      <c r="J75" s="48"/>
      <c r="K75" s="48"/>
      <c r="L75" s="16"/>
      <c r="M75" s="48"/>
      <c r="N75" s="100"/>
    </row>
    <row r="76" spans="1:14" x14ac:dyDescent="0.25">
      <c r="A76" s="97">
        <v>43000</v>
      </c>
      <c r="B76" s="2"/>
      <c r="C76" s="16" t="s">
        <v>175</v>
      </c>
      <c r="D76" s="49"/>
      <c r="E76" s="2" t="str">
        <f>VLOOKUP(A76,'MASTER AKUN'!$A$8:$C$72,2,FALSE)</f>
        <v>Potongan Penjualan</v>
      </c>
      <c r="F76" s="2"/>
      <c r="G76" s="6">
        <v>1510000</v>
      </c>
      <c r="H76" s="6"/>
      <c r="I76" s="2"/>
      <c r="J76" s="46"/>
      <c r="K76" s="46"/>
      <c r="L76" s="2"/>
      <c r="M76" s="46"/>
      <c r="N76" s="98"/>
    </row>
    <row r="77" spans="1:14" x14ac:dyDescent="0.25">
      <c r="A77" s="97">
        <v>21403</v>
      </c>
      <c r="B77" s="2"/>
      <c r="C77" s="16" t="s">
        <v>175</v>
      </c>
      <c r="D77" s="49"/>
      <c r="E77" s="2" t="str">
        <f>VLOOKUP(A77,'MASTER AKUN'!$A$8:$C$72,2,FALSE)</f>
        <v>PPN Keluaran</v>
      </c>
      <c r="F77" s="2"/>
      <c r="G77" s="6"/>
      <c r="H77" s="6">
        <f>H78*10%</f>
        <v>2869000</v>
      </c>
      <c r="I77" s="2"/>
      <c r="J77" s="46"/>
      <c r="K77" s="46"/>
      <c r="L77" s="2"/>
      <c r="M77" s="46"/>
      <c r="N77" s="98"/>
    </row>
    <row r="78" spans="1:14" x14ac:dyDescent="0.25">
      <c r="A78" s="97">
        <v>41000</v>
      </c>
      <c r="B78" s="2"/>
      <c r="C78" s="16" t="s">
        <v>175</v>
      </c>
      <c r="D78" s="49"/>
      <c r="E78" s="2" t="str">
        <f>VLOOKUP(A78,'MASTER AKUN'!$A$8:$C$72,2,FALSE)</f>
        <v>Penjualan</v>
      </c>
      <c r="F78" s="2"/>
      <c r="G78" s="6"/>
      <c r="H78" s="6">
        <v>28690000</v>
      </c>
      <c r="I78" s="2"/>
      <c r="J78" s="46"/>
      <c r="K78" s="46"/>
      <c r="L78" s="2"/>
      <c r="M78" s="46"/>
      <c r="N78" s="98"/>
    </row>
    <row r="79" spans="1:14" x14ac:dyDescent="0.25">
      <c r="A79" s="97">
        <v>51000</v>
      </c>
      <c r="B79" s="2"/>
      <c r="C79" s="16" t="s">
        <v>175</v>
      </c>
      <c r="D79" s="49"/>
      <c r="E79" s="2" t="str">
        <f>VLOOKUP(A79,'MASTER AKUN'!$A$8:$C$72,2,FALSE)</f>
        <v>Harga Pokok Penjualan</v>
      </c>
      <c r="F79" s="2"/>
      <c r="G79" s="6">
        <f>SUM(H80:H82)</f>
        <v>24250000</v>
      </c>
      <c r="H79" s="6"/>
      <c r="I79" s="2"/>
      <c r="J79" s="46"/>
      <c r="K79" s="46"/>
      <c r="L79" s="2"/>
      <c r="M79" s="46"/>
      <c r="N79" s="98"/>
    </row>
    <row r="80" spans="1:14" x14ac:dyDescent="0.25">
      <c r="A80" s="97">
        <v>11500</v>
      </c>
      <c r="B80" s="2"/>
      <c r="C80" s="16" t="s">
        <v>175</v>
      </c>
      <c r="D80" s="49" t="s">
        <v>81</v>
      </c>
      <c r="E80" s="2" t="str">
        <f>VLOOKUP(A80,'MASTER AKUN'!$A$8:$C$72,2,FALSE)</f>
        <v>PERSEDIAAN BARANG DAGANGAN</v>
      </c>
      <c r="F80" s="2"/>
      <c r="G80" s="6"/>
      <c r="H80" s="6">
        <v>11200000</v>
      </c>
      <c r="I80" s="2"/>
      <c r="J80" s="46"/>
      <c r="K80" s="46"/>
      <c r="L80" s="2">
        <v>8</v>
      </c>
      <c r="M80" s="46">
        <v>1400000</v>
      </c>
      <c r="N80" s="98">
        <f>L80*M80</f>
        <v>11200000</v>
      </c>
    </row>
    <row r="81" spans="1:14" x14ac:dyDescent="0.25">
      <c r="A81" s="97">
        <v>11500</v>
      </c>
      <c r="B81" s="2"/>
      <c r="C81" s="16" t="s">
        <v>175</v>
      </c>
      <c r="D81" s="49" t="s">
        <v>89</v>
      </c>
      <c r="E81" s="2" t="str">
        <f>VLOOKUP(A81,'MASTER AKUN'!$A$8:$C$72,2,FALSE)</f>
        <v>PERSEDIAAN BARANG DAGANGAN</v>
      </c>
      <c r="F81" s="2"/>
      <c r="G81" s="6"/>
      <c r="H81" s="6">
        <v>7800000</v>
      </c>
      <c r="I81" s="2"/>
      <c r="J81" s="46"/>
      <c r="K81" s="46"/>
      <c r="L81" s="2">
        <v>6</v>
      </c>
      <c r="M81" s="46">
        <v>1300000</v>
      </c>
      <c r="N81" s="98">
        <f t="shared" ref="N81:N82" si="2">L81*M81</f>
        <v>7800000</v>
      </c>
    </row>
    <row r="82" spans="1:14" ht="15.75" thickBot="1" x14ac:dyDescent="0.3">
      <c r="A82" s="97">
        <v>11500</v>
      </c>
      <c r="B82" s="44"/>
      <c r="C82" s="44" t="s">
        <v>175</v>
      </c>
      <c r="D82" s="50" t="s">
        <v>91</v>
      </c>
      <c r="E82" s="44" t="str">
        <f>VLOOKUP(A82,'MASTER AKUN'!$A$8:$C$72,2,FALSE)</f>
        <v>PERSEDIAAN BARANG DAGANGAN</v>
      </c>
      <c r="F82" s="44"/>
      <c r="G82" s="121"/>
      <c r="H82" s="121">
        <v>5250000</v>
      </c>
      <c r="I82" s="44"/>
      <c r="J82" s="47"/>
      <c r="K82" s="47"/>
      <c r="L82" s="44">
        <v>3</v>
      </c>
      <c r="M82" s="47">
        <v>1750000</v>
      </c>
      <c r="N82" s="98">
        <f t="shared" si="2"/>
        <v>5250000</v>
      </c>
    </row>
    <row r="83" spans="1:14" x14ac:dyDescent="0.25">
      <c r="A83" s="97">
        <v>11401</v>
      </c>
      <c r="B83" s="45">
        <v>38744</v>
      </c>
      <c r="C83" s="16" t="s">
        <v>176</v>
      </c>
      <c r="D83" s="53"/>
      <c r="E83" s="16" t="str">
        <f>VLOOKUP(A83,'MASTER AKUN'!$A$8:$C$72,2,FALSE)</f>
        <v>Piutang Karyawan</v>
      </c>
      <c r="F83" s="16"/>
      <c r="G83" s="23">
        <v>2500000</v>
      </c>
      <c r="H83" s="23"/>
      <c r="I83" s="16"/>
      <c r="J83" s="48"/>
      <c r="K83" s="48"/>
      <c r="L83" s="16"/>
      <c r="M83" s="48"/>
      <c r="N83" s="100"/>
    </row>
    <row r="84" spans="1:14" ht="15.75" thickBot="1" x14ac:dyDescent="0.3">
      <c r="A84" s="97">
        <v>11201</v>
      </c>
      <c r="B84" s="44"/>
      <c r="C84" s="44" t="s">
        <v>176</v>
      </c>
      <c r="D84" s="50"/>
      <c r="E84" s="44" t="str">
        <f>VLOOKUP(A84,'MASTER AKUN'!$A$8:$C$72,2,FALSE)</f>
        <v>Bank BCA</v>
      </c>
      <c r="F84" s="44"/>
      <c r="G84" s="121"/>
      <c r="H84" s="121">
        <v>2500000</v>
      </c>
      <c r="I84" s="44"/>
      <c r="J84" s="47"/>
      <c r="K84" s="47"/>
      <c r="L84" s="44"/>
      <c r="M84" s="47"/>
      <c r="N84" s="99"/>
    </row>
    <row r="85" spans="1:14" x14ac:dyDescent="0.25">
      <c r="A85" s="97">
        <v>21100</v>
      </c>
      <c r="B85" s="45">
        <v>38745</v>
      </c>
      <c r="C85" s="16" t="s">
        <v>177</v>
      </c>
      <c r="D85" s="53" t="s">
        <v>118</v>
      </c>
      <c r="E85" s="16" t="str">
        <f>VLOOKUP(A85,'MASTER AKUN'!$A$8:$C$72,2,FALSE)</f>
        <v>Hutang Usaha</v>
      </c>
      <c r="F85" s="16"/>
      <c r="G85" s="23">
        <v>22000000</v>
      </c>
      <c r="H85" s="23"/>
      <c r="I85" s="16"/>
      <c r="J85" s="48"/>
      <c r="K85" s="48"/>
      <c r="L85" s="16"/>
      <c r="M85" s="48"/>
      <c r="N85" s="100"/>
    </row>
    <row r="86" spans="1:14" x14ac:dyDescent="0.25">
      <c r="A86" s="97">
        <v>11201</v>
      </c>
      <c r="B86" s="2"/>
      <c r="C86" s="16" t="s">
        <v>177</v>
      </c>
      <c r="D86" s="49"/>
      <c r="E86" s="2" t="str">
        <f>VLOOKUP(A86,'MASTER AKUN'!$A$8:$C$72,2,FALSE)</f>
        <v>Bank BCA</v>
      </c>
      <c r="F86" s="2"/>
      <c r="G86" s="6"/>
      <c r="H86" s="6">
        <v>10000000</v>
      </c>
      <c r="I86" s="2"/>
      <c r="J86" s="46"/>
      <c r="K86" s="46"/>
      <c r="L86" s="2"/>
      <c r="M86" s="46"/>
      <c r="N86" s="98"/>
    </row>
    <row r="87" spans="1:14" ht="15.75" thickBot="1" x14ac:dyDescent="0.3">
      <c r="A87" s="97">
        <v>11202</v>
      </c>
      <c r="B87" s="44"/>
      <c r="C87" s="44" t="s">
        <v>177</v>
      </c>
      <c r="D87" s="50"/>
      <c r="E87" s="44" t="str">
        <f>VLOOKUP(A87,'MASTER AKUN'!$A$8:$C$72,2,FALSE)</f>
        <v>Bank Mandiri</v>
      </c>
      <c r="F87" s="44"/>
      <c r="G87" s="121"/>
      <c r="H87" s="121">
        <v>12000000</v>
      </c>
      <c r="I87" s="44"/>
      <c r="J87" s="47"/>
      <c r="K87" s="47"/>
      <c r="L87" s="44"/>
      <c r="M87" s="47"/>
      <c r="N87" s="99"/>
    </row>
    <row r="88" spans="1:14" x14ac:dyDescent="0.25">
      <c r="A88" s="97">
        <v>61008</v>
      </c>
      <c r="B88" s="45">
        <v>38746</v>
      </c>
      <c r="C88" s="16" t="s">
        <v>178</v>
      </c>
      <c r="D88" s="53"/>
      <c r="E88" s="16" t="str">
        <f>VLOOKUP(A88,'MASTER AKUN'!$A$8:$C$72,2,FALSE)</f>
        <v>Beban Pemasaran</v>
      </c>
      <c r="F88" s="16"/>
      <c r="G88" s="23">
        <v>750000</v>
      </c>
      <c r="H88" s="23"/>
      <c r="I88" s="16"/>
      <c r="J88" s="48"/>
      <c r="K88" s="48"/>
      <c r="L88" s="16"/>
      <c r="M88" s="48"/>
      <c r="N88" s="100"/>
    </row>
    <row r="89" spans="1:14" x14ac:dyDescent="0.25">
      <c r="A89" s="97">
        <v>61009</v>
      </c>
      <c r="B89" s="2"/>
      <c r="C89" s="16" t="s">
        <v>178</v>
      </c>
      <c r="D89" s="49"/>
      <c r="E89" s="2" t="str">
        <f>VLOOKUP(A89,'MASTER AKUN'!$A$8:$C$72,2,FALSE)</f>
        <v>Beban Transportasi</v>
      </c>
      <c r="F89" s="2"/>
      <c r="G89" s="6">
        <v>250000</v>
      </c>
      <c r="H89" s="6"/>
      <c r="I89" s="2"/>
      <c r="J89" s="46"/>
      <c r="K89" s="46"/>
      <c r="L89" s="2"/>
      <c r="M89" s="46"/>
      <c r="N89" s="98"/>
    </row>
    <row r="90" spans="1:14" x14ac:dyDescent="0.25">
      <c r="A90" s="97">
        <v>61010</v>
      </c>
      <c r="B90" s="2"/>
      <c r="C90" s="16" t="s">
        <v>178</v>
      </c>
      <c r="D90" s="49"/>
      <c r="E90" s="2" t="str">
        <f>VLOOKUP(A90,'MASTER AKUN'!$A$8:$C$72,2,FALSE)</f>
        <v>Beban Perawatan AC</v>
      </c>
      <c r="F90" s="2"/>
      <c r="G90" s="6">
        <v>200000</v>
      </c>
      <c r="H90" s="6"/>
      <c r="I90" s="2"/>
      <c r="J90" s="46"/>
      <c r="K90" s="46"/>
      <c r="L90" s="2"/>
      <c r="M90" s="46"/>
      <c r="N90" s="98"/>
    </row>
    <row r="91" spans="1:14" x14ac:dyDescent="0.25">
      <c r="A91" s="97">
        <v>61011</v>
      </c>
      <c r="B91" s="2"/>
      <c r="C91" s="16" t="s">
        <v>178</v>
      </c>
      <c r="D91" s="49"/>
      <c r="E91" s="2" t="str">
        <f>VLOOKUP(A91,'MASTER AKUN'!$A$8:$C$72,2,FALSE)</f>
        <v>Beban Perlengkapan Kantor</v>
      </c>
      <c r="F91" s="2"/>
      <c r="G91" s="6">
        <v>50000</v>
      </c>
      <c r="H91" s="6"/>
      <c r="I91" s="2"/>
      <c r="J91" s="46"/>
      <c r="K91" s="46"/>
      <c r="L91" s="2"/>
      <c r="M91" s="46"/>
      <c r="N91" s="98"/>
    </row>
    <row r="92" spans="1:14" ht="15.75" thickBot="1" x14ac:dyDescent="0.3">
      <c r="A92" s="97">
        <v>11201</v>
      </c>
      <c r="B92" s="44"/>
      <c r="C92" s="44" t="s">
        <v>178</v>
      </c>
      <c r="D92" s="50"/>
      <c r="E92" s="44" t="str">
        <f>VLOOKUP(A92,'MASTER AKUN'!$A$8:$C$72,2,FALSE)</f>
        <v>Bank BCA</v>
      </c>
      <c r="F92" s="44"/>
      <c r="G92" s="121"/>
      <c r="H92" s="121">
        <f>SUM(G88:G91)</f>
        <v>1250000</v>
      </c>
      <c r="I92" s="44"/>
      <c r="J92" s="47"/>
      <c r="K92" s="47"/>
      <c r="L92" s="44"/>
      <c r="M92" s="47"/>
      <c r="N92" s="99"/>
    </row>
    <row r="93" spans="1:14" x14ac:dyDescent="0.25">
      <c r="A93" s="97">
        <v>11101</v>
      </c>
      <c r="B93" s="45">
        <v>38746</v>
      </c>
      <c r="C93" s="16" t="s">
        <v>179</v>
      </c>
      <c r="D93" s="53"/>
      <c r="E93" s="16" t="str">
        <f>VLOOKUP(A93,'MASTER AKUN'!$A$8:$C$72,2,FALSE)</f>
        <v>Kas Di Tangan</v>
      </c>
      <c r="F93" s="16"/>
      <c r="G93" s="23">
        <v>5500000</v>
      </c>
      <c r="H93" s="23"/>
      <c r="I93" s="16"/>
      <c r="J93" s="48"/>
      <c r="K93" s="48"/>
      <c r="L93" s="16"/>
      <c r="M93" s="48"/>
      <c r="N93" s="100"/>
    </row>
    <row r="94" spans="1:14" x14ac:dyDescent="0.25">
      <c r="A94" s="97">
        <v>12202</v>
      </c>
      <c r="B94" s="2"/>
      <c r="C94" s="16" t="s">
        <v>179</v>
      </c>
      <c r="D94" s="49"/>
      <c r="E94" s="2" t="str">
        <f>VLOOKUP(A94,'MASTER AKUN'!$A$8:$C$72,2,FALSE)</f>
        <v>Akumulasi Penyusutan Kendaraan</v>
      </c>
      <c r="F94" s="2"/>
      <c r="G94" s="6">
        <v>1500000</v>
      </c>
      <c r="H94" s="6"/>
      <c r="I94" s="2"/>
      <c r="J94" s="46"/>
      <c r="K94" s="46"/>
      <c r="L94" s="2"/>
      <c r="M94" s="46"/>
      <c r="N94" s="98"/>
    </row>
    <row r="95" spans="1:14" x14ac:dyDescent="0.25">
      <c r="A95" s="97">
        <v>12201</v>
      </c>
      <c r="B95" s="2"/>
      <c r="C95" s="16" t="s">
        <v>179</v>
      </c>
      <c r="D95" s="49"/>
      <c r="E95" s="2" t="str">
        <f>VLOOKUP(A95,'MASTER AKUN'!$A$8:$C$72,2,FALSE)</f>
        <v>Kendaraan</v>
      </c>
      <c r="F95" s="2"/>
      <c r="G95" s="6"/>
      <c r="H95" s="6">
        <v>6000000</v>
      </c>
      <c r="I95" s="2"/>
      <c r="J95" s="46"/>
      <c r="K95" s="46"/>
      <c r="L95" s="2"/>
      <c r="M95" s="46"/>
      <c r="N95" s="98"/>
    </row>
    <row r="96" spans="1:14" ht="15.75" thickBot="1" x14ac:dyDescent="0.3">
      <c r="A96" s="97">
        <v>81001</v>
      </c>
      <c r="B96" s="44"/>
      <c r="C96" s="44" t="s">
        <v>179</v>
      </c>
      <c r="D96" s="50"/>
      <c r="E96" s="44" t="str">
        <f>VLOOKUP(A96,'MASTER AKUN'!$A$8:$C$72,2,FALSE)</f>
        <v>Laba Penjualan Aktiva Tetap</v>
      </c>
      <c r="F96" s="44"/>
      <c r="G96" s="121"/>
      <c r="H96" s="121">
        <f>G93+G94-H95</f>
        <v>1000000</v>
      </c>
      <c r="I96" s="44"/>
      <c r="J96" s="47"/>
      <c r="K96" s="47"/>
      <c r="L96" s="44"/>
      <c r="M96" s="47"/>
      <c r="N96" s="99"/>
    </row>
    <row r="97" spans="1:14" x14ac:dyDescent="0.25">
      <c r="A97" s="97">
        <v>11101</v>
      </c>
      <c r="B97" s="45">
        <v>38746</v>
      </c>
      <c r="C97" s="16" t="s">
        <v>180</v>
      </c>
      <c r="D97" s="53"/>
      <c r="E97" s="16" t="str">
        <f>VLOOKUP(A97,'MASTER AKUN'!$A$8:$C$72,2,FALSE)</f>
        <v>Kas Di Tangan</v>
      </c>
      <c r="F97" s="16"/>
      <c r="G97" s="23">
        <f>SUM(H98:H100)</f>
        <v>29729500</v>
      </c>
      <c r="H97" s="23"/>
      <c r="I97" s="16"/>
      <c r="J97" s="48"/>
      <c r="K97" s="48"/>
      <c r="L97" s="16"/>
      <c r="M97" s="48"/>
      <c r="N97" s="100"/>
    </row>
    <row r="98" spans="1:14" x14ac:dyDescent="0.25">
      <c r="A98" s="97">
        <v>21403</v>
      </c>
      <c r="B98" s="2"/>
      <c r="C98" s="16" t="s">
        <v>180</v>
      </c>
      <c r="D98" s="49"/>
      <c r="E98" s="2" t="str">
        <f>VLOOKUP(A98,'MASTER AKUN'!$A$8:$C$72,2,FALSE)</f>
        <v>PPN Keluaran</v>
      </c>
      <c r="F98" s="2"/>
      <c r="G98" s="6"/>
      <c r="H98" s="6">
        <f>H100*10%</f>
        <v>2684500</v>
      </c>
      <c r="I98" s="2"/>
      <c r="J98" s="46"/>
      <c r="K98" s="46"/>
      <c r="L98" s="2"/>
      <c r="M98" s="46"/>
      <c r="N98" s="98"/>
    </row>
    <row r="99" spans="1:14" x14ac:dyDescent="0.25">
      <c r="A99" s="97">
        <v>21200</v>
      </c>
      <c r="B99" s="2"/>
      <c r="C99" s="16" t="s">
        <v>180</v>
      </c>
      <c r="D99" s="49"/>
      <c r="E99" s="2" t="str">
        <f>VLOOKUP(A99,'MASTER AKUN'!$A$8:$C$72,2,FALSE)</f>
        <v>Pendapatan Diterima Di Muka-Jasa Kirim</v>
      </c>
      <c r="F99" s="2"/>
      <c r="G99" s="6"/>
      <c r="H99" s="6">
        <v>200000</v>
      </c>
      <c r="I99" s="2"/>
      <c r="J99" s="46"/>
      <c r="K99" s="46"/>
      <c r="L99" s="2"/>
      <c r="M99" s="46"/>
      <c r="N99" s="98"/>
    </row>
    <row r="100" spans="1:14" x14ac:dyDescent="0.25">
      <c r="A100" s="97">
        <v>41000</v>
      </c>
      <c r="B100" s="2"/>
      <c r="C100" s="16" t="s">
        <v>180</v>
      </c>
      <c r="D100" s="49"/>
      <c r="E100" s="2" t="str">
        <f>VLOOKUP(A100,'MASTER AKUN'!$A$8:$C$72,2,FALSE)</f>
        <v>Penjualan</v>
      </c>
      <c r="F100" s="2"/>
      <c r="G100" s="6"/>
      <c r="H100" s="6">
        <v>26845000</v>
      </c>
      <c r="I100" s="2"/>
      <c r="J100" s="46"/>
      <c r="K100" s="46"/>
      <c r="L100" s="2"/>
      <c r="M100" s="46"/>
      <c r="N100" s="98"/>
    </row>
    <row r="101" spans="1:14" x14ac:dyDescent="0.25">
      <c r="A101" s="97">
        <v>51000</v>
      </c>
      <c r="B101" s="2"/>
      <c r="C101" s="16" t="s">
        <v>180</v>
      </c>
      <c r="D101" s="49"/>
      <c r="E101" s="2" t="str">
        <f>VLOOKUP(A101,'MASTER AKUN'!$A$8:$C$72,2,FALSE)</f>
        <v>Harga Pokok Penjualan</v>
      </c>
      <c r="F101" s="2"/>
      <c r="G101" s="6">
        <f>SUM(H102:H103)</f>
        <v>23375000</v>
      </c>
      <c r="H101" s="6"/>
      <c r="I101" s="2"/>
      <c r="J101" s="46"/>
      <c r="K101" s="46"/>
      <c r="L101" s="2"/>
      <c r="M101" s="46"/>
      <c r="N101" s="98"/>
    </row>
    <row r="102" spans="1:14" x14ac:dyDescent="0.25">
      <c r="A102" s="97">
        <v>11500</v>
      </c>
      <c r="B102" s="2"/>
      <c r="C102" s="16" t="s">
        <v>180</v>
      </c>
      <c r="D102" s="49" t="s">
        <v>77</v>
      </c>
      <c r="E102" s="2" t="str">
        <f>VLOOKUP(A102,'MASTER AKUN'!$A$8:$C$72,2,FALSE)</f>
        <v>PERSEDIAAN BARANG DAGANGAN</v>
      </c>
      <c r="F102" s="2"/>
      <c r="G102" s="6"/>
      <c r="H102" s="6">
        <v>12000000</v>
      </c>
      <c r="I102" s="2"/>
      <c r="J102" s="46"/>
      <c r="K102" s="46"/>
      <c r="L102" s="2">
        <v>10</v>
      </c>
      <c r="M102" s="46">
        <v>1200000</v>
      </c>
      <c r="N102" s="98">
        <f>L102*M102</f>
        <v>12000000</v>
      </c>
    </row>
    <row r="103" spans="1:14" ht="15.75" thickBot="1" x14ac:dyDescent="0.3">
      <c r="A103" s="97">
        <v>11500</v>
      </c>
      <c r="B103" s="44"/>
      <c r="C103" s="44" t="s">
        <v>180</v>
      </c>
      <c r="D103" s="50" t="s">
        <v>79</v>
      </c>
      <c r="E103" s="44" t="str">
        <f>VLOOKUP(A103,'MASTER AKUN'!$A$8:$C$72,2,FALSE)</f>
        <v>PERSEDIAAN BARANG DAGANGAN</v>
      </c>
      <c r="F103" s="44"/>
      <c r="G103" s="121"/>
      <c r="H103" s="121">
        <v>11375000</v>
      </c>
      <c r="I103" s="44"/>
      <c r="J103" s="47"/>
      <c r="K103" s="47"/>
      <c r="L103" s="44">
        <v>35</v>
      </c>
      <c r="M103" s="47">
        <v>325000</v>
      </c>
      <c r="N103" s="98">
        <f>L103*M103</f>
        <v>11375000</v>
      </c>
    </row>
    <row r="104" spans="1:14" x14ac:dyDescent="0.25">
      <c r="A104" s="97">
        <v>11101</v>
      </c>
      <c r="B104" s="45">
        <v>38748</v>
      </c>
      <c r="C104" s="16" t="s">
        <v>181</v>
      </c>
      <c r="D104" s="53"/>
      <c r="E104" s="16" t="str">
        <f>VLOOKUP(A104,'MASTER AKUN'!$A$8:$C$72,2,FALSE)</f>
        <v>Kas Di Tangan</v>
      </c>
      <c r="F104" s="16"/>
      <c r="G104" s="23">
        <v>500000</v>
      </c>
      <c r="H104" s="23"/>
      <c r="I104" s="16"/>
      <c r="J104" s="48"/>
      <c r="K104" s="48"/>
      <c r="L104" s="16"/>
      <c r="M104" s="48"/>
      <c r="N104" s="100"/>
    </row>
    <row r="105" spans="1:14" ht="15.75" thickBot="1" x14ac:dyDescent="0.3">
      <c r="A105" s="97">
        <v>11401</v>
      </c>
      <c r="B105" s="44"/>
      <c r="C105" s="44" t="s">
        <v>181</v>
      </c>
      <c r="D105" s="50"/>
      <c r="E105" s="44" t="str">
        <f>VLOOKUP(A105,'MASTER AKUN'!$A$8:$C$72,2,FALSE)</f>
        <v>Piutang Karyawan</v>
      </c>
      <c r="F105" s="44"/>
      <c r="G105" s="121"/>
      <c r="H105" s="121">
        <v>500000</v>
      </c>
      <c r="I105" s="44"/>
      <c r="J105" s="47"/>
      <c r="K105" s="47"/>
      <c r="L105" s="44"/>
      <c r="M105" s="47"/>
      <c r="N105" s="99"/>
    </row>
    <row r="106" spans="1:14" x14ac:dyDescent="0.25">
      <c r="A106" s="97">
        <v>61001</v>
      </c>
      <c r="B106" s="45">
        <v>38748</v>
      </c>
      <c r="C106" s="16" t="s">
        <v>182</v>
      </c>
      <c r="D106" s="53"/>
      <c r="E106" s="16" t="str">
        <f>VLOOKUP(A106,'MASTER AKUN'!$A$8:$C$72,2,FALSE)</f>
        <v>Beban Gaji Karyawan</v>
      </c>
      <c r="F106" s="16"/>
      <c r="G106" s="23">
        <v>14500000</v>
      </c>
      <c r="H106" s="23"/>
      <c r="I106" s="16"/>
      <c r="J106" s="48"/>
      <c r="K106" s="48"/>
      <c r="L106" s="16"/>
      <c r="M106" s="48"/>
      <c r="N106" s="100"/>
    </row>
    <row r="107" spans="1:14" x14ac:dyDescent="0.25">
      <c r="A107" s="97">
        <v>21401</v>
      </c>
      <c r="B107" s="2"/>
      <c r="C107" s="16" t="s">
        <v>182</v>
      </c>
      <c r="D107" s="49"/>
      <c r="E107" s="2" t="str">
        <f>VLOOKUP(A107,'MASTER AKUN'!$A$8:$C$72,2,FALSE)</f>
        <v>Utang PPh Pasal 21</v>
      </c>
      <c r="F107" s="2"/>
      <c r="G107" s="6"/>
      <c r="H107" s="6">
        <v>725000</v>
      </c>
      <c r="I107" s="2"/>
      <c r="J107" s="46"/>
      <c r="K107" s="46"/>
      <c r="L107" s="2"/>
      <c r="M107" s="46"/>
      <c r="N107" s="98"/>
    </row>
    <row r="108" spans="1:14" ht="15.75" thickBot="1" x14ac:dyDescent="0.3">
      <c r="A108" s="97">
        <v>11201</v>
      </c>
      <c r="B108" s="44"/>
      <c r="C108" s="44" t="s">
        <v>182</v>
      </c>
      <c r="D108" s="50"/>
      <c r="E108" s="44" t="str">
        <f>VLOOKUP(A108,'MASTER AKUN'!$A$8:$C$72,2,FALSE)</f>
        <v>Bank BCA</v>
      </c>
      <c r="F108" s="44"/>
      <c r="G108" s="121"/>
      <c r="H108" s="121">
        <f>G106-H107</f>
        <v>13775000</v>
      </c>
      <c r="I108" s="44"/>
      <c r="J108" s="47"/>
      <c r="K108" s="47"/>
      <c r="L108" s="44"/>
      <c r="M108" s="47"/>
      <c r="N108" s="99"/>
    </row>
    <row r="109" spans="1:14" x14ac:dyDescent="0.25">
      <c r="A109" s="97">
        <v>61006</v>
      </c>
      <c r="B109" s="45">
        <v>38748</v>
      </c>
      <c r="C109" s="16" t="s">
        <v>183</v>
      </c>
      <c r="D109" s="53"/>
      <c r="E109" s="16" t="str">
        <f>VLOOKUP(A109,'MASTER AKUN'!$A$8:$C$72,2,FALSE)</f>
        <v>Beban Penyusutan Peralatan Kantor</v>
      </c>
      <c r="F109" s="16"/>
      <c r="G109" s="23">
        <v>400000</v>
      </c>
      <c r="H109" s="23"/>
      <c r="I109" s="16"/>
      <c r="J109" s="48"/>
      <c r="K109" s="48"/>
      <c r="L109" s="16"/>
      <c r="M109" s="48"/>
      <c r="N109" s="100"/>
    </row>
    <row r="110" spans="1:14" x14ac:dyDescent="0.25">
      <c r="A110" s="97">
        <v>61007</v>
      </c>
      <c r="B110" s="2"/>
      <c r="C110" s="16" t="s">
        <v>183</v>
      </c>
      <c r="D110" s="49"/>
      <c r="E110" s="2" t="str">
        <f>VLOOKUP(A110,'MASTER AKUN'!$A$8:$C$72,2,FALSE)</f>
        <v>Beban Penyusutan Kendaraan</v>
      </c>
      <c r="F110" s="2"/>
      <c r="G110" s="6">
        <v>500000</v>
      </c>
      <c r="H110" s="6"/>
      <c r="I110" s="2"/>
      <c r="J110" s="46"/>
      <c r="K110" s="46"/>
      <c r="L110" s="2"/>
      <c r="M110" s="46"/>
      <c r="N110" s="98"/>
    </row>
    <row r="111" spans="1:14" x14ac:dyDescent="0.25">
      <c r="A111" s="97">
        <v>12102</v>
      </c>
      <c r="B111" s="2"/>
      <c r="C111" s="16" t="s">
        <v>183</v>
      </c>
      <c r="D111" s="49"/>
      <c r="E111" s="2" t="str">
        <f>VLOOKUP(A111,'MASTER AKUN'!$A$8:$C$72,2,FALSE)</f>
        <v>Akumulasi Penyusutan Peralatan Kantor</v>
      </c>
      <c r="F111" s="2"/>
      <c r="G111" s="6"/>
      <c r="H111" s="6">
        <v>400000</v>
      </c>
      <c r="I111" s="2"/>
      <c r="J111" s="46"/>
      <c r="K111" s="46"/>
      <c r="L111" s="2"/>
      <c r="M111" s="46"/>
      <c r="N111" s="98"/>
    </row>
    <row r="112" spans="1:14" ht="15.75" thickBot="1" x14ac:dyDescent="0.3">
      <c r="A112" s="97">
        <v>12202</v>
      </c>
      <c r="B112" s="44"/>
      <c r="C112" s="44" t="s">
        <v>183</v>
      </c>
      <c r="D112" s="50"/>
      <c r="E112" s="44" t="str">
        <f>VLOOKUP(A112,'MASTER AKUN'!$A$8:$C$72,2,FALSE)</f>
        <v>Akumulasi Penyusutan Kendaraan</v>
      </c>
      <c r="F112" s="44"/>
      <c r="G112" s="121"/>
      <c r="H112" s="121">
        <v>500000</v>
      </c>
      <c r="I112" s="44"/>
      <c r="J112" s="47"/>
      <c r="K112" s="47"/>
      <c r="L112" s="44"/>
      <c r="M112" s="47"/>
      <c r="N112" s="99"/>
    </row>
    <row r="113" spans="1:14" x14ac:dyDescent="0.25">
      <c r="A113" s="97">
        <v>91002</v>
      </c>
      <c r="B113" s="45">
        <v>38748</v>
      </c>
      <c r="C113" s="16" t="s">
        <v>184</v>
      </c>
      <c r="D113" s="53"/>
      <c r="E113" s="16" t="str">
        <f>VLOOKUP(A113,'MASTER AKUN'!$A$8:$C$72,2,FALSE)</f>
        <v>Beban Bunga</v>
      </c>
      <c r="F113" s="16"/>
      <c r="G113" s="23">
        <v>1500000</v>
      </c>
      <c r="H113" s="23"/>
      <c r="I113" s="16"/>
      <c r="J113" s="48"/>
      <c r="K113" s="48"/>
      <c r="L113" s="16"/>
      <c r="M113" s="48"/>
      <c r="N113" s="100"/>
    </row>
    <row r="114" spans="1:14" ht="15.75" thickBot="1" x14ac:dyDescent="0.3">
      <c r="A114" s="97">
        <v>21300</v>
      </c>
      <c r="B114" s="44"/>
      <c r="C114" s="44" t="s">
        <v>184</v>
      </c>
      <c r="D114" s="50"/>
      <c r="E114" s="44" t="str">
        <f>VLOOKUP(A114,'MASTER AKUN'!$A$8:$C$72,2,FALSE)</f>
        <v>Hutang Bunga</v>
      </c>
      <c r="F114" s="44"/>
      <c r="G114" s="121"/>
      <c r="H114" s="121">
        <v>1500000</v>
      </c>
      <c r="I114" s="44"/>
      <c r="J114" s="47"/>
      <c r="K114" s="47"/>
      <c r="L114" s="44"/>
      <c r="M114" s="47"/>
      <c r="N114" s="99"/>
    </row>
    <row r="115" spans="1:14" x14ac:dyDescent="0.25">
      <c r="A115" s="97">
        <v>61003</v>
      </c>
      <c r="B115" s="45">
        <v>38748</v>
      </c>
      <c r="C115" s="16" t="s">
        <v>185</v>
      </c>
      <c r="D115" s="53"/>
      <c r="E115" s="16" t="str">
        <f>VLOOKUP(A115,'MASTER AKUN'!$A$8:$C$72,2,FALSE)</f>
        <v>Beban Piutang Tak Tertagih</v>
      </c>
      <c r="F115" s="16"/>
      <c r="G115" s="23">
        <v>2901750</v>
      </c>
      <c r="H115" s="23"/>
      <c r="I115" s="16"/>
      <c r="J115" s="48"/>
      <c r="K115" s="48"/>
      <c r="L115" s="16"/>
      <c r="M115" s="48"/>
      <c r="N115" s="100"/>
    </row>
    <row r="116" spans="1:14" ht="15.75" thickBot="1" x14ac:dyDescent="0.3">
      <c r="A116" s="97">
        <v>11302</v>
      </c>
      <c r="B116" s="44"/>
      <c r="C116" s="44" t="s">
        <v>185</v>
      </c>
      <c r="D116" s="50"/>
      <c r="E116" s="44" t="str">
        <f>VLOOKUP(A116,'MASTER AKUN'!$A$8:$C$72,2,FALSE)</f>
        <v>Cadangan Piutang Tak Tertagih</v>
      </c>
      <c r="F116" s="44"/>
      <c r="G116" s="121"/>
      <c r="H116" s="121">
        <v>2901750</v>
      </c>
      <c r="I116" s="44"/>
      <c r="J116" s="47"/>
      <c r="K116" s="47"/>
      <c r="L116" s="44"/>
      <c r="M116" s="47"/>
      <c r="N116" s="99"/>
    </row>
    <row r="117" spans="1:14" x14ac:dyDescent="0.25">
      <c r="A117" s="97">
        <v>91001</v>
      </c>
      <c r="B117" s="45">
        <v>38748</v>
      </c>
      <c r="C117" s="16" t="s">
        <v>186</v>
      </c>
      <c r="D117" s="53"/>
      <c r="E117" s="16" t="str">
        <f>VLOOKUP(A117,'MASTER AKUN'!$A$8:$C$72,2,FALSE)</f>
        <v>Beban Administrasi Bank</v>
      </c>
      <c r="F117" s="16"/>
      <c r="G117" s="23">
        <v>150000</v>
      </c>
      <c r="H117" s="23"/>
      <c r="I117" s="16"/>
      <c r="J117" s="48"/>
      <c r="K117" s="48"/>
      <c r="L117" s="16"/>
      <c r="M117" s="48"/>
      <c r="N117" s="100"/>
    </row>
    <row r="118" spans="1:14" x14ac:dyDescent="0.25">
      <c r="A118" s="97">
        <v>11201</v>
      </c>
      <c r="B118" s="2"/>
      <c r="C118" s="16" t="s">
        <v>186</v>
      </c>
      <c r="D118" s="49"/>
      <c r="E118" s="2" t="str">
        <f>VLOOKUP(A118,'MASTER AKUN'!$A$8:$C$72,2,FALSE)</f>
        <v>Bank BCA</v>
      </c>
      <c r="F118" s="2"/>
      <c r="G118" s="6">
        <f>H119-G117</f>
        <v>1200000</v>
      </c>
      <c r="H118" s="6"/>
      <c r="I118" s="2"/>
      <c r="J118" s="46"/>
      <c r="K118" s="46"/>
      <c r="L118" s="2"/>
      <c r="M118" s="46"/>
      <c r="N118" s="98"/>
    </row>
    <row r="119" spans="1:14" x14ac:dyDescent="0.25">
      <c r="A119" s="102">
        <v>81002</v>
      </c>
      <c r="B119" s="103"/>
      <c r="C119" s="103" t="s">
        <v>186</v>
      </c>
      <c r="D119" s="104"/>
      <c r="E119" s="103" t="str">
        <f>VLOOKUP(A119,'MASTER AKUN'!$A$8:$C$72,2,FALSE)</f>
        <v>Pendapatan Jasa Giro</v>
      </c>
      <c r="F119" s="103"/>
      <c r="G119" s="122"/>
      <c r="H119" s="122">
        <v>1350000</v>
      </c>
      <c r="I119" s="103"/>
      <c r="J119" s="105"/>
      <c r="K119" s="105"/>
      <c r="L119" s="103"/>
      <c r="M119" s="105"/>
      <c r="N119" s="106"/>
    </row>
    <row r="120" spans="1:14" x14ac:dyDescent="0.25">
      <c r="A120" s="2"/>
      <c r="B120" s="2"/>
      <c r="C120" s="2"/>
      <c r="D120" s="2"/>
      <c r="E120" s="2" t="e">
        <f>VLOOKUP(A120,'MASTER AKUN'!$A$8:$C$72,2,FALSE)</f>
        <v>#N/A</v>
      </c>
      <c r="F120" s="2"/>
      <c r="G120" s="7"/>
      <c r="H120" s="7"/>
      <c r="I120" s="101"/>
      <c r="J120" s="7"/>
      <c r="K120" s="7"/>
      <c r="L120" s="101"/>
      <c r="M120" s="7"/>
      <c r="N120" s="7"/>
    </row>
    <row r="121" spans="1:14" x14ac:dyDescent="0.25">
      <c r="A121" s="2"/>
      <c r="B121" s="2"/>
      <c r="C121" s="2"/>
      <c r="D121" s="2"/>
      <c r="E121" s="10" t="s">
        <v>71</v>
      </c>
      <c r="F121" s="10"/>
      <c r="G121" s="12">
        <f>SUM(G9:G119)</f>
        <v>479716500</v>
      </c>
      <c r="H121" s="12">
        <f>SUM(H9:H119)</f>
        <v>479716500</v>
      </c>
      <c r="I121" s="101"/>
      <c r="J121" s="7"/>
      <c r="K121" s="7"/>
      <c r="L121" s="101"/>
      <c r="M121" s="7"/>
      <c r="N121" s="7"/>
    </row>
  </sheetData>
  <mergeCells count="14">
    <mergeCell ref="I6:N6"/>
    <mergeCell ref="I7:K7"/>
    <mergeCell ref="L7:N7"/>
    <mergeCell ref="A1:N1"/>
    <mergeCell ref="A2:N2"/>
    <mergeCell ref="A3:N3"/>
    <mergeCell ref="A6:A8"/>
    <mergeCell ref="B6:B8"/>
    <mergeCell ref="C6:C8"/>
    <mergeCell ref="E6:E8"/>
    <mergeCell ref="F6:F8"/>
    <mergeCell ref="G6:G8"/>
    <mergeCell ref="H6:H8"/>
    <mergeCell ref="D6:D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'[1]MASTER AKUN'!#REF!</xm:f>
          </x14:formula1>
          <xm:sqref>A9:A119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opLeftCell="G15" workbookViewId="0">
      <selection activeCell="L29" sqref="L29"/>
    </sheetView>
  </sheetViews>
  <sheetFormatPr defaultRowHeight="15" x14ac:dyDescent="0.25"/>
  <cols>
    <col min="2" max="2" width="10.85546875" customWidth="1"/>
    <col min="3" max="3" width="26.5703125" customWidth="1"/>
    <col min="5" max="5" width="15.7109375" customWidth="1"/>
    <col min="6" max="6" width="15.140625" customWidth="1"/>
    <col min="7" max="7" width="16.5703125" customWidth="1"/>
    <col min="8" max="8" width="17" customWidth="1"/>
    <col min="11" max="11" width="20" customWidth="1"/>
    <col min="12" max="12" width="25.42578125" customWidth="1"/>
    <col min="14" max="14" width="17.28515625" customWidth="1"/>
    <col min="15" max="17" width="17.7109375" customWidth="1"/>
  </cols>
  <sheetData>
    <row r="1" spans="1:17" x14ac:dyDescent="0.25">
      <c r="A1" s="89" t="s">
        <v>124</v>
      </c>
      <c r="B1" s="107"/>
      <c r="C1" s="90"/>
    </row>
    <row r="2" spans="1:17" x14ac:dyDescent="0.25">
      <c r="A2" s="108" t="s">
        <v>138</v>
      </c>
      <c r="B2" s="83"/>
      <c r="C2" s="109"/>
    </row>
    <row r="3" spans="1:17" ht="15.75" thickBot="1" x14ac:dyDescent="0.3">
      <c r="A3" s="91" t="s">
        <v>139</v>
      </c>
      <c r="B3" s="87"/>
      <c r="C3" s="92"/>
    </row>
    <row r="6" spans="1:17" x14ac:dyDescent="0.25">
      <c r="A6" s="26" t="s">
        <v>140</v>
      </c>
      <c r="C6" t="s">
        <v>99</v>
      </c>
      <c r="J6" s="26" t="s">
        <v>140</v>
      </c>
      <c r="L6" t="s">
        <v>105</v>
      </c>
    </row>
    <row r="7" spans="1:17" x14ac:dyDescent="0.25">
      <c r="A7" s="26" t="s">
        <v>141</v>
      </c>
      <c r="C7" t="str">
        <f>VLOOKUP(C6,'MASTER AKUN'!$H$21:$I$26,2,FALSE)</f>
        <v>PT. GUNUNG AGUNG</v>
      </c>
      <c r="J7" s="26" t="s">
        <v>141</v>
      </c>
      <c r="L7" t="str">
        <f>VLOOKUP(L6,'MASTER AKUN'!$H$21:$I$26,2,FALSE)</f>
        <v>CV SEMBILAN SEMBILAN</v>
      </c>
    </row>
    <row r="9" spans="1:17" x14ac:dyDescent="0.25">
      <c r="A9" s="160" t="s">
        <v>142</v>
      </c>
      <c r="B9" s="160" t="s">
        <v>127</v>
      </c>
      <c r="C9" s="160" t="s">
        <v>110</v>
      </c>
      <c r="D9" s="160" t="s">
        <v>128</v>
      </c>
      <c r="E9" s="162" t="s">
        <v>129</v>
      </c>
      <c r="F9" s="162" t="s">
        <v>130</v>
      </c>
      <c r="G9" s="139" t="s">
        <v>144</v>
      </c>
      <c r="H9" s="139"/>
      <c r="J9" s="160" t="s">
        <v>142</v>
      </c>
      <c r="K9" s="160" t="s">
        <v>127</v>
      </c>
      <c r="L9" s="160" t="s">
        <v>110</v>
      </c>
      <c r="M9" s="160" t="s">
        <v>128</v>
      </c>
      <c r="N9" s="162" t="s">
        <v>129</v>
      </c>
      <c r="O9" s="162" t="s">
        <v>130</v>
      </c>
      <c r="P9" s="139" t="s">
        <v>144</v>
      </c>
      <c r="Q9" s="139"/>
    </row>
    <row r="10" spans="1:17" x14ac:dyDescent="0.25">
      <c r="A10" s="160"/>
      <c r="B10" s="160"/>
      <c r="C10" s="160"/>
      <c r="D10" s="160"/>
      <c r="E10" s="162"/>
      <c r="F10" s="162"/>
      <c r="G10" s="12" t="s">
        <v>129</v>
      </c>
      <c r="H10" s="12" t="s">
        <v>130</v>
      </c>
      <c r="J10" s="160"/>
      <c r="K10" s="160"/>
      <c r="L10" s="160"/>
      <c r="M10" s="160"/>
      <c r="N10" s="162"/>
      <c r="O10" s="162"/>
      <c r="P10" s="12" t="s">
        <v>129</v>
      </c>
      <c r="Q10" s="12" t="s">
        <v>130</v>
      </c>
    </row>
    <row r="11" spans="1:17" x14ac:dyDescent="0.25">
      <c r="A11" s="27"/>
      <c r="B11" s="27"/>
      <c r="C11" s="28" t="s">
        <v>145</v>
      </c>
      <c r="D11" s="27"/>
      <c r="E11" s="29"/>
      <c r="F11" s="29"/>
      <c r="G11" s="29">
        <f>VLOOKUP(C6,'MASTER AKUN'!$H$22:$K$26,3,FALSE)</f>
        <v>10000000</v>
      </c>
      <c r="H11" s="29"/>
      <c r="J11" s="27"/>
      <c r="K11" s="27"/>
      <c r="L11" s="28" t="s">
        <v>145</v>
      </c>
      <c r="M11" s="27"/>
      <c r="N11" s="29"/>
      <c r="O11" s="29"/>
      <c r="P11" s="29">
        <f>VLOOKUP(L6,'MASTER AKUN'!$H$22:$K$26,3,FALSE)</f>
        <v>15000000</v>
      </c>
      <c r="Q11" s="29"/>
    </row>
    <row r="12" spans="1:17" x14ac:dyDescent="0.25">
      <c r="A12" s="27"/>
      <c r="B12" s="27"/>
      <c r="C12" s="27"/>
      <c r="D12" s="27"/>
      <c r="E12" s="29">
        <f ca="1">SUMIF('JURNAL UMUM'!$D$9:$H$119,' BB PIUTANG'!C6,'JURNAL UMUM'!$G$9:$G$119)</f>
        <v>30535000</v>
      </c>
      <c r="F12" s="29">
        <f ca="1">SUMIF('JURNAL UMUM'!$D$9:$H$119,' BB PIUTANG'!C6,'JURNAL UMUM'!$H$9:$H$119)</f>
        <v>10000000</v>
      </c>
      <c r="G12" s="29">
        <f ca="1">IF(G11+E12&gt;H11+F12,(G11+E12)-(H11+F12),0)</f>
        <v>30535000</v>
      </c>
      <c r="H12" s="29"/>
      <c r="J12" s="27"/>
      <c r="K12" s="27"/>
      <c r="L12" s="27"/>
      <c r="M12" s="27"/>
      <c r="N12" s="29">
        <f ca="1">SUMIF('JURNAL UMUM'!$D$9:$H$119,' BB PIUTANG'!L6,'JURNAL UMUM'!$G$9:$G$119)</f>
        <v>0</v>
      </c>
      <c r="O12" s="29">
        <f ca="1">SUMIF('JURNAL UMUM'!$D$9:$H$119,' BB PIUTANG'!L6,'JURNAL UMUM'!$H$9:$H$119)</f>
        <v>15000000</v>
      </c>
      <c r="P12" s="29">
        <f ca="1">IF(P11+N12&gt;Q11+O12,(P11+N12)-(Q11+O12),0)</f>
        <v>0</v>
      </c>
      <c r="Q12" s="29"/>
    </row>
    <row r="13" spans="1:17" x14ac:dyDescent="0.25">
      <c r="A13" s="27"/>
      <c r="B13" s="27"/>
      <c r="C13" s="27"/>
      <c r="D13" s="27"/>
      <c r="E13" s="29"/>
      <c r="F13" s="29"/>
      <c r="G13" s="29"/>
      <c r="H13" s="29"/>
      <c r="J13" s="27"/>
      <c r="K13" s="27"/>
      <c r="L13" s="27"/>
      <c r="M13" s="27"/>
      <c r="N13" s="29"/>
      <c r="O13" s="29"/>
      <c r="P13" s="29"/>
      <c r="Q13" s="29"/>
    </row>
    <row r="14" spans="1:17" x14ac:dyDescent="0.25">
      <c r="A14" s="27"/>
      <c r="B14" s="27"/>
      <c r="C14" s="27"/>
      <c r="D14" s="27"/>
      <c r="E14" s="29"/>
      <c r="F14" s="29"/>
      <c r="G14" s="29"/>
      <c r="H14" s="29"/>
      <c r="J14" s="27"/>
      <c r="K14" s="27"/>
      <c r="L14" s="27"/>
      <c r="M14" s="27"/>
      <c r="N14" s="29"/>
      <c r="O14" s="29"/>
      <c r="P14" s="29"/>
      <c r="Q14" s="29"/>
    </row>
    <row r="16" spans="1:17" x14ac:dyDescent="0.25">
      <c r="A16" s="26" t="s">
        <v>140</v>
      </c>
      <c r="C16" t="s">
        <v>101</v>
      </c>
      <c r="J16" s="26" t="s">
        <v>140</v>
      </c>
      <c r="L16" t="s">
        <v>107</v>
      </c>
    </row>
    <row r="17" spans="1:17" x14ac:dyDescent="0.25">
      <c r="A17" s="26" t="s">
        <v>141</v>
      </c>
      <c r="C17" t="str">
        <f>VLOOKUP(C16,'MASTER AKUN'!$H$21:$I$26,2,FALSE)</f>
        <v>TOKO BUKU UTAMA</v>
      </c>
      <c r="J17" s="26" t="s">
        <v>141</v>
      </c>
      <c r="L17" t="str">
        <f>VLOOKUP(L16,'MASTER AKUN'!$H$21:$I$26,2,FALSE)</f>
        <v>Penjualan Counter</v>
      </c>
    </row>
    <row r="19" spans="1:17" x14ac:dyDescent="0.25">
      <c r="A19" s="160" t="s">
        <v>142</v>
      </c>
      <c r="B19" s="160" t="s">
        <v>127</v>
      </c>
      <c r="C19" s="160" t="s">
        <v>110</v>
      </c>
      <c r="D19" s="160" t="s">
        <v>128</v>
      </c>
      <c r="E19" s="162" t="s">
        <v>129</v>
      </c>
      <c r="F19" s="162" t="s">
        <v>130</v>
      </c>
      <c r="G19" s="139" t="s">
        <v>144</v>
      </c>
      <c r="H19" s="139"/>
      <c r="J19" s="160" t="s">
        <v>142</v>
      </c>
      <c r="K19" s="160" t="s">
        <v>127</v>
      </c>
      <c r="L19" s="160" t="s">
        <v>110</v>
      </c>
      <c r="M19" s="160" t="s">
        <v>128</v>
      </c>
      <c r="N19" s="162" t="s">
        <v>129</v>
      </c>
      <c r="O19" s="162" t="s">
        <v>130</v>
      </c>
      <c r="P19" s="139" t="s">
        <v>144</v>
      </c>
      <c r="Q19" s="139"/>
    </row>
    <row r="20" spans="1:17" x14ac:dyDescent="0.25">
      <c r="A20" s="160"/>
      <c r="B20" s="160"/>
      <c r="C20" s="160"/>
      <c r="D20" s="160"/>
      <c r="E20" s="162"/>
      <c r="F20" s="162"/>
      <c r="G20" s="12" t="s">
        <v>129</v>
      </c>
      <c r="H20" s="12" t="s">
        <v>130</v>
      </c>
      <c r="J20" s="160"/>
      <c r="K20" s="160"/>
      <c r="L20" s="160"/>
      <c r="M20" s="160"/>
      <c r="N20" s="162"/>
      <c r="O20" s="162"/>
      <c r="P20" s="12" t="s">
        <v>129</v>
      </c>
      <c r="Q20" s="12" t="s">
        <v>130</v>
      </c>
    </row>
    <row r="21" spans="1:17" x14ac:dyDescent="0.25">
      <c r="A21" s="27"/>
      <c r="B21" s="27"/>
      <c r="C21" s="28" t="s">
        <v>145</v>
      </c>
      <c r="D21" s="27"/>
      <c r="E21" s="29"/>
      <c r="F21" s="29"/>
      <c r="G21" s="29">
        <f>VLOOKUP(C16,'MASTER AKUN'!$H$22:$K$26,3,FALSE)</f>
        <v>15000000</v>
      </c>
      <c r="H21" s="29"/>
      <c r="J21" s="27"/>
      <c r="K21" s="27"/>
      <c r="L21" s="28" t="s">
        <v>145</v>
      </c>
      <c r="M21" s="27"/>
      <c r="N21" s="29"/>
      <c r="O21" s="29"/>
      <c r="P21" s="29">
        <f>VLOOKUP(L16,'MASTER AKUN'!$H$22:$K$26,3,FALSE)</f>
        <v>47500000</v>
      </c>
      <c r="Q21" s="29"/>
    </row>
    <row r="22" spans="1:17" x14ac:dyDescent="0.25">
      <c r="A22" s="27"/>
      <c r="B22" s="27"/>
      <c r="C22" s="27"/>
      <c r="D22" s="27"/>
      <c r="E22" s="29">
        <f ca="1">SUMIF('JURNAL UMUM'!$D$9:$H$119,' BB PIUTANG'!C16,'JURNAL UMUM'!$G$9:$G$119)</f>
        <v>29425000</v>
      </c>
      <c r="F22" s="29">
        <f ca="1">SUMIF('JURNAL UMUM'!$D$9:$H$119,' BB PIUTANG'!C16,'JURNAL UMUM'!$H$9:$H$119)</f>
        <v>16925000</v>
      </c>
      <c r="G22" s="29">
        <f ca="1">IF(G21+E22&gt;H21+F22,(G21+E22)-(H21+F22),0)</f>
        <v>27500000</v>
      </c>
      <c r="H22" s="29"/>
      <c r="J22" s="27"/>
      <c r="K22" s="27"/>
      <c r="L22" s="27"/>
      <c r="M22" s="27"/>
      <c r="N22" s="29">
        <f ca="1">SUMIF('JURNAL UMUM'!$D$9:$H$119,' BB PIUTANG'!L16,'JURNAL UMUM'!$G$9:$G$119)</f>
        <v>0</v>
      </c>
      <c r="O22" s="29">
        <f ca="1">SUMIF('JURNAL UMUM'!$D$9:$H$119,' BB PIUTANG'!L16,'JURNAL UMUM'!$H$9:$H$119)</f>
        <v>0</v>
      </c>
      <c r="P22" s="29">
        <f ca="1">IF(P21+N22&gt;Q21+O22,(P21+N22)-(Q21+O22),0)</f>
        <v>47500000</v>
      </c>
      <c r="Q22" s="29"/>
    </row>
    <row r="23" spans="1:17" x14ac:dyDescent="0.25">
      <c r="A23" s="27"/>
      <c r="B23" s="27"/>
      <c r="C23" s="27"/>
      <c r="D23" s="27"/>
      <c r="E23" s="29"/>
      <c r="F23" s="29"/>
      <c r="G23" s="29"/>
      <c r="H23" s="29"/>
      <c r="J23" s="27"/>
      <c r="K23" s="27"/>
      <c r="L23" s="27"/>
      <c r="M23" s="27"/>
      <c r="N23" s="29"/>
      <c r="O23" s="29"/>
      <c r="P23" s="29"/>
      <c r="Q23" s="29"/>
    </row>
    <row r="24" spans="1:17" x14ac:dyDescent="0.25">
      <c r="A24" s="27"/>
      <c r="B24" s="27"/>
      <c r="C24" s="27"/>
      <c r="D24" s="27"/>
      <c r="E24" s="29"/>
      <c r="F24" s="29"/>
      <c r="G24" s="29"/>
      <c r="H24" s="29"/>
      <c r="J24" s="27"/>
      <c r="K24" s="27"/>
      <c r="L24" s="27"/>
      <c r="M24" s="27"/>
      <c r="N24" s="29"/>
      <c r="O24" s="29"/>
      <c r="P24" s="29"/>
      <c r="Q24" s="29"/>
    </row>
    <row r="26" spans="1:17" x14ac:dyDescent="0.25">
      <c r="A26" s="26" t="s">
        <v>140</v>
      </c>
      <c r="C26" t="s">
        <v>103</v>
      </c>
    </row>
    <row r="27" spans="1:17" x14ac:dyDescent="0.25">
      <c r="A27" s="26" t="s">
        <v>141</v>
      </c>
      <c r="C27" t="str">
        <f>VLOOKUP(C26,'MASTER AKUN'!$H$21:$I$26,2,FALSE)</f>
        <v>CV MEBEL ABADI</v>
      </c>
      <c r="J27" s="139" t="s">
        <v>193</v>
      </c>
      <c r="K27" s="139"/>
      <c r="L27" s="139"/>
    </row>
    <row r="28" spans="1:17" x14ac:dyDescent="0.25">
      <c r="J28" s="10" t="s">
        <v>194</v>
      </c>
      <c r="K28" s="10" t="s">
        <v>195</v>
      </c>
      <c r="L28" s="10" t="s">
        <v>196</v>
      </c>
    </row>
    <row r="29" spans="1:17" x14ac:dyDescent="0.25">
      <c r="A29" s="160" t="s">
        <v>142</v>
      </c>
      <c r="B29" s="160" t="s">
        <v>127</v>
      </c>
      <c r="C29" s="160" t="s">
        <v>110</v>
      </c>
      <c r="D29" s="160" t="s">
        <v>128</v>
      </c>
      <c r="E29" s="162" t="s">
        <v>129</v>
      </c>
      <c r="F29" s="162" t="s">
        <v>130</v>
      </c>
      <c r="G29" s="139" t="s">
        <v>144</v>
      </c>
      <c r="H29" s="139"/>
      <c r="J29" s="2" t="s">
        <v>99</v>
      </c>
      <c r="K29" s="2" t="str">
        <f>VLOOKUP(J29,'[1]MASTER AKUN'!$F$15:$G$19,2,FALSE)</f>
        <v xml:space="preserve">PT. GUNUNG AGUNG </v>
      </c>
      <c r="L29" s="7">
        <f ca="1">G12</f>
        <v>30535000</v>
      </c>
    </row>
    <row r="30" spans="1:17" x14ac:dyDescent="0.25">
      <c r="A30" s="160"/>
      <c r="B30" s="160"/>
      <c r="C30" s="160"/>
      <c r="D30" s="160"/>
      <c r="E30" s="162"/>
      <c r="F30" s="162"/>
      <c r="G30" s="12" t="s">
        <v>129</v>
      </c>
      <c r="H30" s="12" t="s">
        <v>130</v>
      </c>
      <c r="J30" s="2" t="s">
        <v>101</v>
      </c>
      <c r="K30" s="2" t="str">
        <f>VLOOKUP(J30,'[1]MASTER AKUN'!$F$15:$G$19,2,FALSE)</f>
        <v xml:space="preserve">TOKO BUKU UTAMA </v>
      </c>
      <c r="L30" s="7">
        <f ca="1">G22</f>
        <v>27500000</v>
      </c>
    </row>
    <row r="31" spans="1:17" x14ac:dyDescent="0.25">
      <c r="A31" s="27"/>
      <c r="B31" s="27"/>
      <c r="C31" s="28" t="s">
        <v>145</v>
      </c>
      <c r="D31" s="27"/>
      <c r="E31" s="29"/>
      <c r="F31" s="29"/>
      <c r="G31" s="29">
        <f>VLOOKUP(C26,'MASTER AKUN'!$H$22:$K$26,3,FALSE)</f>
        <v>7500000</v>
      </c>
      <c r="H31" s="29"/>
      <c r="J31" s="2"/>
      <c r="K31" s="2"/>
      <c r="L31" s="7"/>
    </row>
    <row r="32" spans="1:17" x14ac:dyDescent="0.25">
      <c r="A32" s="27"/>
      <c r="B32" s="27"/>
      <c r="C32" s="27"/>
      <c r="D32" s="27"/>
      <c r="E32" s="29">
        <f ca="1">SUMIF('JURNAL UMUM'!$D$9:$H$119,' BB PIUTANG'!C26,'JURNAL UMUM'!$G$9:$G$119)</f>
        <v>0</v>
      </c>
      <c r="F32" s="29">
        <f ca="1">SUMIF('JURNAL UMUM'!$D$9:$H$119,' BB PIUTANG'!C26,'JURNAL UMUM'!$H$9:$H$119)</f>
        <v>7500000</v>
      </c>
      <c r="G32" s="29">
        <f ca="1">IF(G31+E32&gt;H31+F32,(G31+E32)-(H31+F32),0)</f>
        <v>0</v>
      </c>
      <c r="H32" s="29"/>
      <c r="J32" s="2"/>
      <c r="K32" s="2"/>
      <c r="L32" s="7"/>
    </row>
    <row r="33" spans="1:12" x14ac:dyDescent="0.25">
      <c r="A33" s="27"/>
      <c r="B33" s="27"/>
      <c r="C33" s="27"/>
      <c r="D33" s="27"/>
      <c r="E33" s="29"/>
      <c r="F33" s="29"/>
      <c r="G33" s="29"/>
      <c r="H33" s="29"/>
      <c r="J33" s="166" t="s">
        <v>71</v>
      </c>
      <c r="K33" s="166"/>
      <c r="L33" s="123">
        <f ca="1">SUM(L29:L30)</f>
        <v>58035000</v>
      </c>
    </row>
    <row r="34" spans="1:12" x14ac:dyDescent="0.25">
      <c r="A34" s="27"/>
      <c r="B34" s="27"/>
      <c r="C34" s="27"/>
      <c r="D34" s="27"/>
      <c r="E34" s="29"/>
      <c r="F34" s="29"/>
      <c r="G34" s="29"/>
      <c r="H34" s="29"/>
    </row>
  </sheetData>
  <mergeCells count="37">
    <mergeCell ref="J27:L27"/>
    <mergeCell ref="J33:K33"/>
    <mergeCell ref="O9:O10"/>
    <mergeCell ref="P9:Q9"/>
    <mergeCell ref="J19:J20"/>
    <mergeCell ref="K19:K20"/>
    <mergeCell ref="L19:L20"/>
    <mergeCell ref="M19:M20"/>
    <mergeCell ref="N19:N20"/>
    <mergeCell ref="O19:O20"/>
    <mergeCell ref="P19:Q19"/>
    <mergeCell ref="J9:J10"/>
    <mergeCell ref="K9:K10"/>
    <mergeCell ref="L9:L10"/>
    <mergeCell ref="M9:M10"/>
    <mergeCell ref="N9:N10"/>
    <mergeCell ref="F19:F20"/>
    <mergeCell ref="G19:H19"/>
    <mergeCell ref="A19:A20"/>
    <mergeCell ref="B19:B20"/>
    <mergeCell ref="C19:C20"/>
    <mergeCell ref="D19:D20"/>
    <mergeCell ref="E19:E20"/>
    <mergeCell ref="G29:H29"/>
    <mergeCell ref="A29:A30"/>
    <mergeCell ref="B29:B30"/>
    <mergeCell ref="C29:C30"/>
    <mergeCell ref="D29:D30"/>
    <mergeCell ref="E29:E30"/>
    <mergeCell ref="F29:F30"/>
    <mergeCell ref="G9:H9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'[1]MASTER AKUN'!#REF!</xm:f>
          </x14:formula1>
          <xm:sqref>J29:J30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F7" workbookViewId="0">
      <selection activeCell="N18" sqref="N18"/>
    </sheetView>
  </sheetViews>
  <sheetFormatPr defaultRowHeight="15" x14ac:dyDescent="0.25"/>
  <cols>
    <col min="3" max="3" width="21.85546875" customWidth="1"/>
    <col min="5" max="5" width="15.85546875" customWidth="1"/>
    <col min="6" max="6" width="15.42578125" customWidth="1"/>
    <col min="7" max="7" width="13.85546875" customWidth="1"/>
    <col min="8" max="8" width="16.42578125" customWidth="1"/>
    <col min="11" max="11" width="20.28515625" customWidth="1"/>
    <col min="12" max="12" width="22.7109375" customWidth="1"/>
    <col min="14" max="14" width="16.42578125" customWidth="1"/>
    <col min="15" max="15" width="9.140625" customWidth="1"/>
    <col min="16" max="16" width="20.85546875" customWidth="1"/>
    <col min="17" max="17" width="18" customWidth="1"/>
  </cols>
  <sheetData>
    <row r="1" spans="1:17" x14ac:dyDescent="0.25">
      <c r="A1" s="89" t="s">
        <v>124</v>
      </c>
      <c r="B1" s="107"/>
      <c r="C1" s="90"/>
    </row>
    <row r="2" spans="1:17" x14ac:dyDescent="0.25">
      <c r="A2" s="108" t="s">
        <v>146</v>
      </c>
      <c r="B2" s="83"/>
      <c r="C2" s="109"/>
    </row>
    <row r="3" spans="1:17" ht="15.75" thickBot="1" x14ac:dyDescent="0.3">
      <c r="A3" s="91" t="s">
        <v>139</v>
      </c>
      <c r="B3" s="87"/>
      <c r="C3" s="92"/>
    </row>
    <row r="6" spans="1:17" x14ac:dyDescent="0.25">
      <c r="A6" t="s">
        <v>97</v>
      </c>
      <c r="C6" t="s">
        <v>114</v>
      </c>
      <c r="E6" s="8"/>
      <c r="F6" s="8"/>
      <c r="H6" s="30"/>
      <c r="J6" t="s">
        <v>97</v>
      </c>
      <c r="L6" t="s">
        <v>118</v>
      </c>
      <c r="N6" s="8"/>
      <c r="O6" s="8"/>
      <c r="Q6" s="30"/>
    </row>
    <row r="7" spans="1:17" x14ac:dyDescent="0.25">
      <c r="A7" t="s">
        <v>109</v>
      </c>
      <c r="C7" t="str">
        <f>VLOOKUP(C6,'MASTER AKUN'!$H$30:$I$33,2,FALSE)</f>
        <v>CV USAHA MAJU</v>
      </c>
      <c r="E7" s="8"/>
      <c r="F7" s="8"/>
      <c r="H7" s="30"/>
      <c r="J7" t="s">
        <v>109</v>
      </c>
      <c r="L7" t="str">
        <f>VLOOKUP(L6,'MASTER AKUN'!$H$30:$I$33,2,FALSE)</f>
        <v>UD BERSAUDARA</v>
      </c>
      <c r="N7" s="8"/>
      <c r="O7" s="8"/>
      <c r="Q7" s="30"/>
    </row>
    <row r="8" spans="1:17" x14ac:dyDescent="0.25">
      <c r="E8" s="8"/>
      <c r="F8" s="8"/>
      <c r="H8" s="30"/>
      <c r="N8" s="8"/>
      <c r="O8" s="8"/>
      <c r="Q8" s="30"/>
    </row>
    <row r="9" spans="1:17" x14ac:dyDescent="0.25">
      <c r="A9" s="160" t="s">
        <v>142</v>
      </c>
      <c r="B9" s="160" t="s">
        <v>127</v>
      </c>
      <c r="C9" s="160" t="s">
        <v>143</v>
      </c>
      <c r="D9" s="160" t="s">
        <v>128</v>
      </c>
      <c r="E9" s="162" t="s">
        <v>129</v>
      </c>
      <c r="F9" s="162" t="s">
        <v>130</v>
      </c>
      <c r="G9" s="139" t="s">
        <v>144</v>
      </c>
      <c r="H9" s="139"/>
      <c r="J9" s="160" t="s">
        <v>142</v>
      </c>
      <c r="K9" s="160" t="s">
        <v>127</v>
      </c>
      <c r="L9" s="160" t="s">
        <v>143</v>
      </c>
      <c r="M9" s="160" t="s">
        <v>128</v>
      </c>
      <c r="N9" s="162" t="s">
        <v>129</v>
      </c>
      <c r="O9" s="162" t="s">
        <v>130</v>
      </c>
      <c r="P9" s="139" t="s">
        <v>144</v>
      </c>
      <c r="Q9" s="139"/>
    </row>
    <row r="10" spans="1:17" x14ac:dyDescent="0.25">
      <c r="A10" s="160"/>
      <c r="B10" s="160"/>
      <c r="C10" s="160"/>
      <c r="D10" s="160"/>
      <c r="E10" s="162"/>
      <c r="F10" s="162"/>
      <c r="G10" s="10" t="s">
        <v>129</v>
      </c>
      <c r="H10" s="110" t="s">
        <v>130</v>
      </c>
      <c r="J10" s="160"/>
      <c r="K10" s="160"/>
      <c r="L10" s="160"/>
      <c r="M10" s="160"/>
      <c r="N10" s="162"/>
      <c r="O10" s="162"/>
      <c r="P10" s="10" t="s">
        <v>129</v>
      </c>
      <c r="Q10" s="110" t="s">
        <v>130</v>
      </c>
    </row>
    <row r="11" spans="1:17" x14ac:dyDescent="0.25">
      <c r="A11" s="27"/>
      <c r="B11" s="27"/>
      <c r="C11" s="28" t="s">
        <v>145</v>
      </c>
      <c r="D11" s="27"/>
      <c r="E11" s="29"/>
      <c r="F11" s="29"/>
      <c r="G11" s="27"/>
      <c r="H11" s="31">
        <f>VLOOKUP(C6,'MASTER AKUN'!$H$31:$K$33,3,FALSE)</f>
        <v>24000000</v>
      </c>
      <c r="J11" s="27"/>
      <c r="K11" s="27"/>
      <c r="L11" s="28" t="s">
        <v>145</v>
      </c>
      <c r="M11" s="27"/>
      <c r="N11" s="29"/>
      <c r="O11" s="29"/>
      <c r="P11" s="27"/>
      <c r="Q11" s="31">
        <f>VLOOKUP(L6,'MASTER AKUN'!$H$31:$K$33,3,FALSE)</f>
        <v>35000000</v>
      </c>
    </row>
    <row r="12" spans="1:17" x14ac:dyDescent="0.25">
      <c r="A12" s="27"/>
      <c r="B12" s="27"/>
      <c r="C12" s="27"/>
      <c r="D12" s="27"/>
      <c r="E12" s="29">
        <f ca="1">SUMIF('JURNAL UMUM'!$D$9:$H$119,'BB HUTANG'!C6,'JURNAL UMUM'!$G$9:$G$119)</f>
        <v>24357500</v>
      </c>
      <c r="F12" s="29">
        <f ca="1">SUMIF('JURNAL UMUM'!$D$9:$H$119,'BB HUTANG'!C6,'JURNAL UMUM'!$H$9:$H$119)</f>
        <v>17925000</v>
      </c>
      <c r="G12" s="29">
        <f ca="1">IF(G11+E12&gt;H11+F12,(G11+E12)-(H11+F12),0)</f>
        <v>0</v>
      </c>
      <c r="H12" s="29">
        <f ca="1">IF(H11+F12&gt;G11+E12,(H11+F12)-(G11+E12),0)</f>
        <v>17567500</v>
      </c>
      <c r="J12" s="27"/>
      <c r="K12" s="27"/>
      <c r="L12" s="27"/>
      <c r="M12" s="27"/>
      <c r="N12" s="29">
        <f ca="1">SUMIF('JURNAL UMUM'!$D$9:$H$119,'BB HUTANG'!L6,'JURNAL UMUM'!$G$9:$G$119)</f>
        <v>22000000</v>
      </c>
      <c r="O12" s="29">
        <f ca="1">SUMIF('JURNAL UMUM'!$D$9:$H$119,'BB HUTANG'!L6,'JURNAL UMUM'!$H$9:$H$119)</f>
        <v>0</v>
      </c>
      <c r="P12" s="29">
        <f ca="1">IF(P11+N12&gt;Q11+O12,(P11+N12)-(Q11+O12),0)</f>
        <v>0</v>
      </c>
      <c r="Q12" s="29">
        <f ca="1">IF(Q11+O12&gt;P11+N12,(Q11+O12)-(P11+N12),0)</f>
        <v>13000000</v>
      </c>
    </row>
    <row r="13" spans="1:17" x14ac:dyDescent="0.25">
      <c r="A13" s="27"/>
      <c r="B13" s="27"/>
      <c r="C13" s="27"/>
      <c r="D13" s="27"/>
      <c r="E13" s="29"/>
      <c r="F13" s="29"/>
      <c r="G13" s="27"/>
      <c r="H13" s="31"/>
      <c r="J13" s="27"/>
      <c r="K13" s="27"/>
      <c r="L13" s="27"/>
      <c r="M13" s="27"/>
      <c r="N13" s="29"/>
      <c r="O13" s="29"/>
      <c r="P13" s="27"/>
      <c r="Q13" s="31"/>
    </row>
    <row r="14" spans="1:17" x14ac:dyDescent="0.25">
      <c r="A14" s="27"/>
      <c r="B14" s="27"/>
      <c r="C14" s="27"/>
      <c r="D14" s="27"/>
      <c r="E14" s="29"/>
      <c r="F14" s="29"/>
      <c r="G14" s="27"/>
      <c r="H14" s="31"/>
      <c r="J14" s="27"/>
      <c r="K14" s="27"/>
      <c r="L14" s="27"/>
      <c r="M14" s="27"/>
      <c r="N14" s="29"/>
      <c r="O14" s="29"/>
      <c r="P14" s="27"/>
      <c r="Q14" s="31"/>
    </row>
    <row r="16" spans="1:17" x14ac:dyDescent="0.25">
      <c r="A16" t="s">
        <v>97</v>
      </c>
      <c r="C16" t="s">
        <v>116</v>
      </c>
      <c r="E16" s="8"/>
      <c r="F16" s="8"/>
      <c r="H16" s="30"/>
    </row>
    <row r="17" spans="1:12" x14ac:dyDescent="0.25">
      <c r="A17" t="s">
        <v>109</v>
      </c>
      <c r="C17" t="str">
        <f>VLOOKUP(C16,'MASTER AKUN'!$H$30:$I$33,2,FALSE)</f>
        <v>PT KARYA BERSAMA</v>
      </c>
      <c r="E17" s="8"/>
      <c r="F17" s="8"/>
      <c r="H17" s="30"/>
    </row>
    <row r="18" spans="1:12" x14ac:dyDescent="0.25">
      <c r="E18" s="8"/>
      <c r="F18" s="8"/>
      <c r="H18" s="30"/>
    </row>
    <row r="19" spans="1:12" x14ac:dyDescent="0.25">
      <c r="A19" s="160" t="s">
        <v>142</v>
      </c>
      <c r="B19" s="160" t="s">
        <v>127</v>
      </c>
      <c r="C19" s="160" t="s">
        <v>143</v>
      </c>
      <c r="D19" s="160" t="s">
        <v>128</v>
      </c>
      <c r="E19" s="162" t="s">
        <v>129</v>
      </c>
      <c r="F19" s="162" t="s">
        <v>130</v>
      </c>
      <c r="G19" s="139" t="s">
        <v>144</v>
      </c>
      <c r="H19" s="139"/>
      <c r="J19" s="139" t="s">
        <v>199</v>
      </c>
      <c r="K19" s="139"/>
      <c r="L19" s="139"/>
    </row>
    <row r="20" spans="1:12" x14ac:dyDescent="0.25">
      <c r="A20" s="160"/>
      <c r="B20" s="160"/>
      <c r="C20" s="160"/>
      <c r="D20" s="160"/>
      <c r="E20" s="162"/>
      <c r="F20" s="162"/>
      <c r="G20" s="10" t="s">
        <v>129</v>
      </c>
      <c r="H20" s="110" t="s">
        <v>130</v>
      </c>
      <c r="J20" s="10" t="s">
        <v>194</v>
      </c>
      <c r="K20" s="10" t="s">
        <v>197</v>
      </c>
      <c r="L20" s="10" t="s">
        <v>198</v>
      </c>
    </row>
    <row r="21" spans="1:12" x14ac:dyDescent="0.25">
      <c r="A21" s="27"/>
      <c r="B21" s="27"/>
      <c r="C21" s="28" t="s">
        <v>145</v>
      </c>
      <c r="D21" s="27"/>
      <c r="E21" s="29"/>
      <c r="F21" s="29"/>
      <c r="G21" s="27"/>
      <c r="H21" s="31">
        <f>VLOOKUP(C16,'MASTER AKUN'!$H$31:$K$33,3,FALSE)</f>
        <v>16000000</v>
      </c>
      <c r="J21" s="2" t="s">
        <v>114</v>
      </c>
      <c r="K21" s="2" t="str">
        <f>VLOOKUP(J21,'[1]MASTER AKUN'!$F$6:$G$8,2,FALSE)</f>
        <v>CV USAHA MAJU</v>
      </c>
      <c r="L21" s="7">
        <f ca="1">H12</f>
        <v>17567500</v>
      </c>
    </row>
    <row r="22" spans="1:12" x14ac:dyDescent="0.25">
      <c r="A22" s="27"/>
      <c r="B22" s="27"/>
      <c r="C22" s="27"/>
      <c r="D22" s="27"/>
      <c r="E22" s="29">
        <f ca="1">SUMIF('JURNAL UMUM'!$D$9:$H$119,'BB HUTANG'!C16,'JURNAL UMUM'!$G$9:$G$119)</f>
        <v>0</v>
      </c>
      <c r="F22" s="29">
        <f ca="1">SUMIF('JURNAL UMUM'!$D$9:$H$119,'BB HUTANG'!C16,'JURNAL UMUM'!$H$9:$H$119)</f>
        <v>0</v>
      </c>
      <c r="G22" s="29">
        <f ca="1">IF(G21+E22&gt;H21+F22,(G21+E22)-(H21+F22),0)</f>
        <v>0</v>
      </c>
      <c r="H22" s="29">
        <f ca="1">IF(H21+F22&gt;G21+E22,(H21+F22)-(G21+E22),0)</f>
        <v>16000000</v>
      </c>
      <c r="J22" s="2" t="s">
        <v>116</v>
      </c>
      <c r="K22" s="2" t="str">
        <f>VLOOKUP(J22,'[1]MASTER AKUN'!$F$6:$G$8,2,FALSE)</f>
        <v xml:space="preserve">PT KARYA BERSAMA </v>
      </c>
      <c r="L22" s="7">
        <f ca="1">H22</f>
        <v>16000000</v>
      </c>
    </row>
    <row r="23" spans="1:12" x14ac:dyDescent="0.25">
      <c r="A23" s="27"/>
      <c r="B23" s="27"/>
      <c r="C23" s="27"/>
      <c r="D23" s="27"/>
      <c r="E23" s="29"/>
      <c r="F23" s="29"/>
      <c r="G23" s="27"/>
      <c r="H23" s="31"/>
      <c r="J23" s="2" t="s">
        <v>118</v>
      </c>
      <c r="K23" s="2" t="str">
        <f>VLOOKUP(J23,'[1]MASTER AKUN'!$F$6:$G$8,2,FALSE)</f>
        <v xml:space="preserve">UD BERSAUDARA </v>
      </c>
      <c r="L23" s="7">
        <f ca="1">Q12</f>
        <v>13000000</v>
      </c>
    </row>
    <row r="24" spans="1:12" x14ac:dyDescent="0.25">
      <c r="A24" s="27"/>
      <c r="B24" s="27"/>
      <c r="C24" s="27"/>
      <c r="D24" s="27"/>
      <c r="E24" s="29"/>
      <c r="F24" s="29"/>
      <c r="G24" s="27"/>
      <c r="H24" s="31"/>
      <c r="J24" s="2"/>
      <c r="K24" s="2"/>
      <c r="L24" s="7"/>
    </row>
    <row r="25" spans="1:12" x14ac:dyDescent="0.25">
      <c r="J25" s="166" t="s">
        <v>71</v>
      </c>
      <c r="K25" s="166"/>
      <c r="L25" s="123">
        <f ca="1">SUM(L21:L23)</f>
        <v>46567500</v>
      </c>
    </row>
  </sheetData>
  <mergeCells count="23">
    <mergeCell ref="O9:O10"/>
    <mergeCell ref="P9:Q9"/>
    <mergeCell ref="J19:L19"/>
    <mergeCell ref="J25:K25"/>
    <mergeCell ref="J9:J10"/>
    <mergeCell ref="K9:K10"/>
    <mergeCell ref="L9:L10"/>
    <mergeCell ref="M9:M10"/>
    <mergeCell ref="N9:N10"/>
    <mergeCell ref="F19:F20"/>
    <mergeCell ref="G19:H19"/>
    <mergeCell ref="A19:A20"/>
    <mergeCell ref="B19:B20"/>
    <mergeCell ref="C19:C20"/>
    <mergeCell ref="D19:D20"/>
    <mergeCell ref="E19:E20"/>
    <mergeCell ref="G9:H9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'[1]MASTER AKUN'!#REF!</xm:f>
          </x14:formula1>
          <xm:sqref>J21:J23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opLeftCell="L29" workbookViewId="0">
      <selection activeCell="P48" sqref="P48"/>
    </sheetView>
  </sheetViews>
  <sheetFormatPr defaultRowHeight="15" x14ac:dyDescent="0.25"/>
  <cols>
    <col min="2" max="2" width="21.28515625" customWidth="1"/>
    <col min="3" max="3" width="11.7109375" customWidth="1"/>
    <col min="5" max="5" width="14.5703125" customWidth="1"/>
    <col min="6" max="6" width="14" customWidth="1"/>
    <col min="8" max="8" width="15.7109375" customWidth="1"/>
    <col min="9" max="9" width="19.140625" customWidth="1"/>
    <col min="11" max="11" width="17.140625" customWidth="1"/>
    <col min="12" max="12" width="21" customWidth="1"/>
    <col min="15" max="15" width="26.28515625" customWidth="1"/>
    <col min="18" max="18" width="12.7109375" customWidth="1"/>
    <col min="21" max="21" width="15.7109375" customWidth="1"/>
    <col min="22" max="22" width="12.85546875" customWidth="1"/>
    <col min="24" max="24" width="13" customWidth="1"/>
    <col min="25" max="25" width="16.85546875" customWidth="1"/>
  </cols>
  <sheetData>
    <row r="1" spans="1:25" x14ac:dyDescent="0.25">
      <c r="A1" s="147" t="s">
        <v>124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25" x14ac:dyDescent="0.25">
      <c r="A2" s="150" t="s">
        <v>147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</row>
    <row r="3" spans="1:25" ht="15.75" thickBot="1" x14ac:dyDescent="0.3">
      <c r="A3" s="153" t="s">
        <v>139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6" spans="1:25" x14ac:dyDescent="0.25">
      <c r="A6" s="167" t="s">
        <v>154</v>
      </c>
      <c r="B6" s="167"/>
      <c r="C6" s="34" t="s">
        <v>77</v>
      </c>
      <c r="E6" s="8"/>
      <c r="F6" s="8"/>
      <c r="H6" s="8"/>
      <c r="I6" s="8"/>
      <c r="K6" s="8"/>
      <c r="L6" s="8"/>
      <c r="N6" s="167" t="s">
        <v>154</v>
      </c>
      <c r="O6" s="167"/>
      <c r="P6" s="34" t="s">
        <v>87</v>
      </c>
      <c r="R6" s="8"/>
      <c r="S6" s="8"/>
      <c r="U6" s="8"/>
      <c r="V6" s="8"/>
      <c r="X6" s="8"/>
      <c r="Y6" s="8"/>
    </row>
    <row r="7" spans="1:25" x14ac:dyDescent="0.25">
      <c r="A7" s="167" t="s">
        <v>155</v>
      </c>
      <c r="B7" s="167"/>
      <c r="C7" s="34" t="str">
        <f>VLOOKUP(C6,'MASTER AKUN'!$H$8:$I$17,2,FALSE)</f>
        <v>QUEEN C405</v>
      </c>
      <c r="E7" s="8"/>
      <c r="F7" s="8"/>
      <c r="H7" s="8"/>
      <c r="I7" s="8"/>
      <c r="K7" s="8"/>
      <c r="L7" s="8"/>
      <c r="N7" s="167" t="s">
        <v>155</v>
      </c>
      <c r="O7" s="167"/>
      <c r="P7" s="34" t="str">
        <f>VLOOKUP(P6,'MASTER AKUN'!$H$8:$I$17,2,FALSE)</f>
        <v>EBIET D908</v>
      </c>
      <c r="R7" s="8"/>
      <c r="S7" s="8"/>
      <c r="U7" s="8"/>
      <c r="V7" s="8"/>
      <c r="X7" s="8"/>
      <c r="Y7" s="8"/>
    </row>
    <row r="8" spans="1:25" x14ac:dyDescent="0.25">
      <c r="E8" s="8"/>
      <c r="F8" s="8"/>
      <c r="H8" s="8"/>
      <c r="I8" s="8"/>
      <c r="K8" s="8"/>
      <c r="L8" s="8"/>
      <c r="R8" s="8"/>
      <c r="S8" s="8"/>
      <c r="U8" s="8"/>
      <c r="V8" s="8"/>
      <c r="X8" s="8"/>
      <c r="Y8" s="8"/>
    </row>
    <row r="9" spans="1:25" x14ac:dyDescent="0.25">
      <c r="A9" s="168" t="s">
        <v>148</v>
      </c>
      <c r="B9" s="168" t="s">
        <v>149</v>
      </c>
      <c r="C9" s="168" t="s">
        <v>150</v>
      </c>
      <c r="D9" s="143" t="s">
        <v>136</v>
      </c>
      <c r="E9" s="144"/>
      <c r="F9" s="145"/>
      <c r="G9" s="143" t="s">
        <v>137</v>
      </c>
      <c r="H9" s="144"/>
      <c r="I9" s="145"/>
      <c r="J9" s="143" t="s">
        <v>151</v>
      </c>
      <c r="K9" s="144"/>
      <c r="L9" s="145"/>
      <c r="N9" s="168" t="s">
        <v>148</v>
      </c>
      <c r="O9" s="168" t="s">
        <v>149</v>
      </c>
      <c r="P9" s="168" t="s">
        <v>150</v>
      </c>
      <c r="Q9" s="143" t="s">
        <v>136</v>
      </c>
      <c r="R9" s="144"/>
      <c r="S9" s="145"/>
      <c r="T9" s="143" t="s">
        <v>137</v>
      </c>
      <c r="U9" s="144"/>
      <c r="V9" s="145"/>
      <c r="W9" s="143" t="s">
        <v>151</v>
      </c>
      <c r="X9" s="144"/>
      <c r="Y9" s="145"/>
    </row>
    <row r="10" spans="1:25" x14ac:dyDescent="0.25">
      <c r="A10" s="165"/>
      <c r="B10" s="165"/>
      <c r="C10" s="165"/>
      <c r="D10" s="10" t="s">
        <v>132</v>
      </c>
      <c r="E10" s="111" t="s">
        <v>152</v>
      </c>
      <c r="F10" s="111" t="s">
        <v>153</v>
      </c>
      <c r="G10" s="10" t="s">
        <v>132</v>
      </c>
      <c r="H10" s="111" t="s">
        <v>152</v>
      </c>
      <c r="I10" s="111" t="s">
        <v>153</v>
      </c>
      <c r="J10" s="10" t="s">
        <v>132</v>
      </c>
      <c r="K10" s="111" t="s">
        <v>152</v>
      </c>
      <c r="L10" s="111" t="s">
        <v>153</v>
      </c>
      <c r="N10" s="165"/>
      <c r="O10" s="165"/>
      <c r="P10" s="165"/>
      <c r="Q10" s="10" t="s">
        <v>132</v>
      </c>
      <c r="R10" s="111" t="s">
        <v>152</v>
      </c>
      <c r="S10" s="111" t="s">
        <v>153</v>
      </c>
      <c r="T10" s="10" t="s">
        <v>132</v>
      </c>
      <c r="U10" s="111" t="s">
        <v>152</v>
      </c>
      <c r="V10" s="111" t="s">
        <v>153</v>
      </c>
      <c r="W10" s="10" t="s">
        <v>132</v>
      </c>
      <c r="X10" s="111" t="s">
        <v>152</v>
      </c>
      <c r="Y10" s="111" t="s">
        <v>153</v>
      </c>
    </row>
    <row r="11" spans="1:25" x14ac:dyDescent="0.25">
      <c r="A11" s="27"/>
      <c r="B11" s="27" t="s">
        <v>145</v>
      </c>
      <c r="C11" s="27"/>
      <c r="D11" s="27"/>
      <c r="E11" s="32"/>
      <c r="F11" s="32"/>
      <c r="G11" s="27"/>
      <c r="H11" s="32"/>
      <c r="I11" s="32"/>
      <c r="J11" s="33">
        <f>VLOOKUP(C6,'MASTER AKUN'!$H$9:$L$17,3,FALSE)</f>
        <v>15</v>
      </c>
      <c r="K11" s="32">
        <f>VLOOKUP(C6,'MASTER AKUN'!$H$9:$L$17,4,FALSE)</f>
        <v>1200000</v>
      </c>
      <c r="L11" s="32">
        <f>J11*K11</f>
        <v>18000000</v>
      </c>
      <c r="N11" s="27"/>
      <c r="O11" s="27" t="s">
        <v>145</v>
      </c>
      <c r="P11" s="27"/>
      <c r="Q11" s="27"/>
      <c r="R11" s="32"/>
      <c r="S11" s="32"/>
      <c r="T11" s="27"/>
      <c r="U11" s="32"/>
      <c r="V11" s="32"/>
      <c r="W11" s="33">
        <f>VLOOKUP(P6,'MASTER AKUN'!$H$9:$L$17,3,FALSE)</f>
        <v>12</v>
      </c>
      <c r="X11" s="32">
        <f>VLOOKUP(P6,'MASTER AKUN'!$H$9:$L$17,4,FALSE)</f>
        <v>590000</v>
      </c>
      <c r="Y11" s="32">
        <f>W11*X11</f>
        <v>7080000</v>
      </c>
    </row>
    <row r="12" spans="1:25" x14ac:dyDescent="0.25">
      <c r="A12" s="27"/>
      <c r="B12" s="27"/>
      <c r="C12" s="27"/>
      <c r="D12" s="27">
        <f ca="1">SUMIF('JURNAL UMUM'!$D$9:$N$119,'BB PERSEDIAAN'!C6,'JURNAL UMUM'!$I$9:$I$119)</f>
        <v>10</v>
      </c>
      <c r="E12" s="27">
        <f ca="1">F12/D12</f>
        <v>1200000</v>
      </c>
      <c r="F12" s="27">
        <f ca="1">SUMIF('JURNAL UMUM'!$D$9:$N$119,'BB PERSEDIAAN'!C6,'JURNAL UMUM'!$K$9:$K$119)</f>
        <v>12000000</v>
      </c>
      <c r="G12" s="27">
        <f ca="1">SUMIF('JURNAL UMUM'!$D$9:$N$119,'BB PERSEDIAAN'!C6,'JURNAL UMUM'!$L$9:$L$119)</f>
        <v>18</v>
      </c>
      <c r="H12" s="32">
        <f ca="1">I12/G12</f>
        <v>1200000</v>
      </c>
      <c r="I12" s="27">
        <f ca="1">SUMIF('JURNAL UMUM'!$D$9:$N$119,'BB PERSEDIAAN'!C6,'JURNAL UMUM'!$N$9:$N$119)</f>
        <v>21600000</v>
      </c>
      <c r="J12" s="27">
        <f ca="1">J11+D12-G12</f>
        <v>7</v>
      </c>
      <c r="K12" s="32">
        <f ca="1">L12/J12</f>
        <v>1200000</v>
      </c>
      <c r="L12" s="32">
        <f ca="1">L11+F12-I12</f>
        <v>8400000</v>
      </c>
      <c r="N12" s="27"/>
      <c r="O12" s="27"/>
      <c r="P12" s="27"/>
      <c r="Q12" s="27">
        <f ca="1">SUMIF('JURNAL UMUM'!$D$9:$N$119,'BB PERSEDIAAN'!P6,'JURNAL UMUM'!$I$9:$I$119)</f>
        <v>0</v>
      </c>
      <c r="R12" s="27" t="e">
        <f ca="1">S12/Q12</f>
        <v>#DIV/0!</v>
      </c>
      <c r="S12" s="27">
        <f ca="1">SUMIF('JURNAL UMUM'!$D$9:$N$119,'BB PERSEDIAAN'!P6,'JURNAL UMUM'!$K$9:$K$119)</f>
        <v>0</v>
      </c>
      <c r="T12" s="27">
        <f ca="1">SUMIF('JURNAL UMUM'!$D$9:$N$119,'BB PERSEDIAAN'!P6,'JURNAL UMUM'!$L$9:$L$119)</f>
        <v>6</v>
      </c>
      <c r="U12" s="32">
        <f ca="1">V12/T12</f>
        <v>590000</v>
      </c>
      <c r="V12" s="27">
        <f ca="1">SUMIF('JURNAL UMUM'!$D$9:$N$119,'BB PERSEDIAAN'!P6,'JURNAL UMUM'!$N$9:$N$119)</f>
        <v>3540000</v>
      </c>
      <c r="W12" s="27">
        <f ca="1">W11+Q12-T12</f>
        <v>6</v>
      </c>
      <c r="X12" s="32">
        <f ca="1">Y12/W12</f>
        <v>590000</v>
      </c>
      <c r="Y12" s="32">
        <f ca="1">Y11+S12-V12</f>
        <v>3540000</v>
      </c>
    </row>
    <row r="13" spans="1:25" x14ac:dyDescent="0.25">
      <c r="A13" s="27"/>
      <c r="B13" s="27"/>
      <c r="C13" s="27"/>
      <c r="D13" s="27"/>
      <c r="E13" s="32"/>
      <c r="F13" s="32"/>
      <c r="G13" s="27"/>
      <c r="H13" s="32"/>
      <c r="I13" s="32"/>
      <c r="J13" s="27"/>
      <c r="K13" s="32"/>
      <c r="L13" s="32"/>
      <c r="N13" s="27"/>
      <c r="O13" s="27"/>
      <c r="P13" s="27"/>
      <c r="Q13" s="27"/>
      <c r="R13" s="32"/>
      <c r="S13" s="32"/>
      <c r="T13" s="27"/>
      <c r="U13" s="32"/>
      <c r="V13" s="32"/>
      <c r="W13" s="27"/>
      <c r="X13" s="32"/>
      <c r="Y13" s="32"/>
    </row>
    <row r="15" spans="1:25" x14ac:dyDescent="0.25">
      <c r="A15" s="167" t="s">
        <v>154</v>
      </c>
      <c r="B15" s="167"/>
      <c r="C15" s="34" t="s">
        <v>79</v>
      </c>
      <c r="E15" s="8"/>
      <c r="F15" s="8"/>
      <c r="H15" s="8"/>
      <c r="I15" s="8"/>
      <c r="K15" s="8"/>
      <c r="L15" s="8"/>
      <c r="N15" s="167" t="s">
        <v>154</v>
      </c>
      <c r="O15" s="167"/>
      <c r="P15" s="34" t="s">
        <v>89</v>
      </c>
      <c r="R15" s="8"/>
      <c r="S15" s="8"/>
      <c r="U15" s="8"/>
      <c r="V15" s="8"/>
      <c r="X15" s="8"/>
      <c r="Y15" s="8"/>
    </row>
    <row r="16" spans="1:25" x14ac:dyDescent="0.25">
      <c r="A16" s="167" t="s">
        <v>155</v>
      </c>
      <c r="B16" s="167"/>
      <c r="C16" s="34" t="str">
        <f>VLOOKUP(C15,'MASTER AKUN'!$H$8:$I$17,2,FALSE)</f>
        <v>QUEEN C605</v>
      </c>
      <c r="E16" s="8"/>
      <c r="F16" s="8"/>
      <c r="H16" s="8"/>
      <c r="I16" s="8"/>
      <c r="K16" s="8"/>
      <c r="L16" s="8"/>
      <c r="N16" s="167" t="s">
        <v>155</v>
      </c>
      <c r="O16" s="167"/>
      <c r="P16" s="34" t="str">
        <f>VLOOKUP(P15,'MASTER AKUN'!$H$8:$I$17,2,FALSE)</f>
        <v>TAMERLAND L1</v>
      </c>
      <c r="R16" s="8"/>
      <c r="S16" s="8"/>
      <c r="U16" s="8"/>
      <c r="V16" s="8"/>
      <c r="X16" s="8"/>
      <c r="Y16" s="8"/>
    </row>
    <row r="17" spans="1:25" x14ac:dyDescent="0.25">
      <c r="E17" s="8"/>
      <c r="F17" s="8"/>
      <c r="H17" s="8"/>
      <c r="I17" s="8"/>
      <c r="K17" s="8"/>
      <c r="L17" s="8"/>
      <c r="R17" s="8"/>
      <c r="S17" s="8"/>
      <c r="U17" s="8"/>
      <c r="V17" s="8"/>
      <c r="X17" s="8"/>
      <c r="Y17" s="8"/>
    </row>
    <row r="18" spans="1:25" x14ac:dyDescent="0.25">
      <c r="A18" s="168" t="s">
        <v>148</v>
      </c>
      <c r="B18" s="168" t="s">
        <v>149</v>
      </c>
      <c r="C18" s="168" t="s">
        <v>150</v>
      </c>
      <c r="D18" s="143" t="s">
        <v>136</v>
      </c>
      <c r="E18" s="144"/>
      <c r="F18" s="145"/>
      <c r="G18" s="143" t="s">
        <v>137</v>
      </c>
      <c r="H18" s="144"/>
      <c r="I18" s="145"/>
      <c r="J18" s="143" t="s">
        <v>151</v>
      </c>
      <c r="K18" s="144"/>
      <c r="L18" s="145"/>
      <c r="N18" s="168" t="s">
        <v>148</v>
      </c>
      <c r="O18" s="168" t="s">
        <v>149</v>
      </c>
      <c r="P18" s="168" t="s">
        <v>150</v>
      </c>
      <c r="Q18" s="143" t="s">
        <v>136</v>
      </c>
      <c r="R18" s="144"/>
      <c r="S18" s="145"/>
      <c r="T18" s="143" t="s">
        <v>137</v>
      </c>
      <c r="U18" s="144"/>
      <c r="V18" s="145"/>
      <c r="W18" s="143" t="s">
        <v>151</v>
      </c>
      <c r="X18" s="144"/>
      <c r="Y18" s="145"/>
    </row>
    <row r="19" spans="1:25" x14ac:dyDescent="0.25">
      <c r="A19" s="165"/>
      <c r="B19" s="165"/>
      <c r="C19" s="165"/>
      <c r="D19" s="10" t="s">
        <v>132</v>
      </c>
      <c r="E19" s="111" t="s">
        <v>152</v>
      </c>
      <c r="F19" s="111" t="s">
        <v>153</v>
      </c>
      <c r="G19" s="10" t="s">
        <v>132</v>
      </c>
      <c r="H19" s="111" t="s">
        <v>152</v>
      </c>
      <c r="I19" s="111" t="s">
        <v>153</v>
      </c>
      <c r="J19" s="10" t="s">
        <v>132</v>
      </c>
      <c r="K19" s="111" t="s">
        <v>152</v>
      </c>
      <c r="L19" s="111" t="s">
        <v>153</v>
      </c>
      <c r="N19" s="165"/>
      <c r="O19" s="165"/>
      <c r="P19" s="165"/>
      <c r="Q19" s="10" t="s">
        <v>132</v>
      </c>
      <c r="R19" s="111" t="s">
        <v>152</v>
      </c>
      <c r="S19" s="111" t="s">
        <v>153</v>
      </c>
      <c r="T19" s="10" t="s">
        <v>132</v>
      </c>
      <c r="U19" s="111" t="s">
        <v>152</v>
      </c>
      <c r="V19" s="111" t="s">
        <v>153</v>
      </c>
      <c r="W19" s="10" t="s">
        <v>132</v>
      </c>
      <c r="X19" s="111" t="s">
        <v>152</v>
      </c>
      <c r="Y19" s="111" t="s">
        <v>153</v>
      </c>
    </row>
    <row r="20" spans="1:25" x14ac:dyDescent="0.25">
      <c r="A20" s="27"/>
      <c r="B20" s="27" t="s">
        <v>145</v>
      </c>
      <c r="C20" s="27"/>
      <c r="D20" s="27"/>
      <c r="E20" s="32"/>
      <c r="F20" s="32"/>
      <c r="G20" s="27"/>
      <c r="H20" s="32"/>
      <c r="I20" s="32"/>
      <c r="J20" s="33">
        <f>VLOOKUP(C15,'MASTER AKUN'!$H$9:$L$17,3,FALSE)</f>
        <v>50</v>
      </c>
      <c r="K20" s="32">
        <f>VLOOKUP(C15,'MASTER AKUN'!$H$9:$L$17,4,FALSE)</f>
        <v>325000</v>
      </c>
      <c r="L20" s="32">
        <f>J20*K20</f>
        <v>16250000</v>
      </c>
      <c r="N20" s="27"/>
      <c r="O20" s="27" t="s">
        <v>145</v>
      </c>
      <c r="P20" s="27"/>
      <c r="Q20" s="27"/>
      <c r="R20" s="32"/>
      <c r="S20" s="32"/>
      <c r="T20" s="27"/>
      <c r="U20" s="32"/>
      <c r="V20" s="32"/>
      <c r="W20" s="33">
        <f>VLOOKUP(P15,'MASTER AKUN'!$H$9:$L$17,3,FALSE)</f>
        <v>15</v>
      </c>
      <c r="X20" s="32">
        <f>VLOOKUP(P15,'MASTER AKUN'!$H$9:$L$17,4,FALSE)</f>
        <v>1300000</v>
      </c>
      <c r="Y20" s="32">
        <f>W20*X20</f>
        <v>19500000</v>
      </c>
    </row>
    <row r="21" spans="1:25" x14ac:dyDescent="0.25">
      <c r="A21" s="27"/>
      <c r="B21" s="27"/>
      <c r="C21" s="27"/>
      <c r="D21" s="27">
        <f ca="1">SUMIF('JURNAL UMUM'!$D$9:$N$119,'BB PERSEDIAAN'!C15,'JURNAL UMUM'!$I$9:$I$119)</f>
        <v>29</v>
      </c>
      <c r="E21" s="27">
        <f ca="1">F21/D21</f>
        <v>325000</v>
      </c>
      <c r="F21" s="27">
        <f ca="1">SUMIF('JURNAL UMUM'!$D$9:$N$119,'BB PERSEDIAAN'!C15,'JURNAL UMUM'!$K$9:$K$119)</f>
        <v>9425000</v>
      </c>
      <c r="G21" s="27">
        <f ca="1">SUMIF('JURNAL UMUM'!$D$9:$N$119,'BB PERSEDIAAN'!C15,'JURNAL UMUM'!$L$9:$L$119)</f>
        <v>64</v>
      </c>
      <c r="H21" s="32">
        <f ca="1">I21/G21</f>
        <v>325000</v>
      </c>
      <c r="I21" s="27">
        <f ca="1">SUMIF('JURNAL UMUM'!$D$9:$N$119,'BB PERSEDIAAN'!C15,'JURNAL UMUM'!$N$9:$N$119)</f>
        <v>20800000</v>
      </c>
      <c r="J21" s="27">
        <f ca="1">J20+D21-G21</f>
        <v>15</v>
      </c>
      <c r="K21" s="32">
        <f ca="1">L21/J21</f>
        <v>325000</v>
      </c>
      <c r="L21" s="32">
        <f ca="1">L20+F21-I21</f>
        <v>4875000</v>
      </c>
      <c r="N21" s="27"/>
      <c r="O21" s="27"/>
      <c r="P21" s="27"/>
      <c r="Q21" s="27">
        <f ca="1">SUMIF('JURNAL UMUM'!$D$9:$N$119,'BB PERSEDIAAN'!P15,'JURNAL UMUM'!$I$9:$I$119)</f>
        <v>0</v>
      </c>
      <c r="R21" s="27" t="e">
        <f ca="1">S21/Q21</f>
        <v>#DIV/0!</v>
      </c>
      <c r="S21" s="27">
        <f ca="1">SUMIF('JURNAL UMUM'!$D$9:$N$119,'BB PERSEDIAAN'!P15,'JURNAL UMUM'!$K$9:$K$119)</f>
        <v>0</v>
      </c>
      <c r="T21" s="27">
        <f ca="1">SUMIF('JURNAL UMUM'!$D$9:$N$119,'BB PERSEDIAAN'!P15,'JURNAL UMUM'!$L$9:$L$119)</f>
        <v>12</v>
      </c>
      <c r="U21" s="32">
        <f ca="1">V21/T21</f>
        <v>1300000</v>
      </c>
      <c r="V21" s="27">
        <f ca="1">SUMIF('JURNAL UMUM'!$D$9:$N$119,'BB PERSEDIAAN'!P15,'JURNAL UMUM'!$N$9:$N$119)</f>
        <v>15600000</v>
      </c>
      <c r="W21" s="27">
        <f ca="1">W20+Q21-T21</f>
        <v>3</v>
      </c>
      <c r="X21" s="32">
        <f ca="1">Y21/W21</f>
        <v>1300000</v>
      </c>
      <c r="Y21" s="32">
        <f ca="1">Y20+S21-V21</f>
        <v>3900000</v>
      </c>
    </row>
    <row r="22" spans="1:25" x14ac:dyDescent="0.25">
      <c r="A22" s="27"/>
      <c r="B22" s="27"/>
      <c r="C22" s="27"/>
      <c r="D22" s="27"/>
      <c r="E22" s="32"/>
      <c r="F22" s="32"/>
      <c r="G22" s="27"/>
      <c r="H22" s="32"/>
      <c r="I22" s="32"/>
      <c r="J22" s="27"/>
      <c r="K22" s="32"/>
      <c r="L22" s="32"/>
      <c r="N22" s="27"/>
      <c r="O22" s="27"/>
      <c r="P22" s="27"/>
      <c r="Q22" s="27"/>
      <c r="R22" s="32"/>
      <c r="S22" s="32"/>
      <c r="T22" s="27"/>
      <c r="U22" s="32"/>
      <c r="V22" s="32"/>
      <c r="W22" s="27"/>
      <c r="X22" s="32"/>
      <c r="Y22" s="32"/>
    </row>
    <row r="24" spans="1:25" x14ac:dyDescent="0.25">
      <c r="A24" s="167" t="s">
        <v>154</v>
      </c>
      <c r="B24" s="167"/>
      <c r="C24" s="34" t="s">
        <v>81</v>
      </c>
      <c r="E24" s="8"/>
      <c r="F24" s="8"/>
      <c r="H24" s="8"/>
      <c r="I24" s="8"/>
      <c r="K24" s="8"/>
      <c r="L24" s="8"/>
      <c r="N24" s="167" t="s">
        <v>154</v>
      </c>
      <c r="O24" s="167"/>
      <c r="P24" s="34" t="s">
        <v>91</v>
      </c>
      <c r="R24" s="8"/>
      <c r="S24" s="8"/>
      <c r="U24" s="8"/>
      <c r="V24" s="8"/>
      <c r="X24" s="8"/>
      <c r="Y24" s="8"/>
    </row>
    <row r="25" spans="1:25" x14ac:dyDescent="0.25">
      <c r="A25" s="167" t="s">
        <v>155</v>
      </c>
      <c r="B25" s="167"/>
      <c r="C25" s="34" t="str">
        <f>VLOOKUP(C24,'MASTER AKUN'!$H$8:$I$17,2,FALSE)</f>
        <v>STONES C109</v>
      </c>
      <c r="E25" s="8"/>
      <c r="F25" s="8"/>
      <c r="H25" s="8"/>
      <c r="I25" s="8"/>
      <c r="K25" s="8"/>
      <c r="L25" s="8"/>
      <c r="N25" s="167" t="s">
        <v>155</v>
      </c>
      <c r="O25" s="167"/>
      <c r="P25" s="34" t="str">
        <f>VLOOKUP(P24,'MASTER AKUN'!$H$8:$I$17,2,FALSE)</f>
        <v>TAMERLAND L2</v>
      </c>
      <c r="R25" s="8"/>
      <c r="S25" s="8"/>
      <c r="U25" s="8"/>
      <c r="V25" s="8"/>
      <c r="X25" s="8"/>
      <c r="Y25" s="8"/>
    </row>
    <row r="26" spans="1:25" x14ac:dyDescent="0.25">
      <c r="E26" s="8"/>
      <c r="F26" s="8"/>
      <c r="H26" s="8"/>
      <c r="I26" s="8"/>
      <c r="K26" s="8"/>
      <c r="L26" s="8"/>
      <c r="R26" s="8"/>
      <c r="S26" s="8"/>
      <c r="U26" s="8"/>
      <c r="V26" s="8"/>
      <c r="X26" s="8"/>
      <c r="Y26" s="8"/>
    </row>
    <row r="27" spans="1:25" x14ac:dyDescent="0.25">
      <c r="A27" s="168" t="s">
        <v>148</v>
      </c>
      <c r="B27" s="168" t="s">
        <v>149</v>
      </c>
      <c r="C27" s="168" t="s">
        <v>150</v>
      </c>
      <c r="D27" s="143" t="s">
        <v>136</v>
      </c>
      <c r="E27" s="144"/>
      <c r="F27" s="145"/>
      <c r="G27" s="143" t="s">
        <v>137</v>
      </c>
      <c r="H27" s="144"/>
      <c r="I27" s="145"/>
      <c r="J27" s="143" t="s">
        <v>151</v>
      </c>
      <c r="K27" s="144"/>
      <c r="L27" s="145"/>
      <c r="N27" s="168" t="s">
        <v>148</v>
      </c>
      <c r="O27" s="168" t="s">
        <v>149</v>
      </c>
      <c r="P27" s="168" t="s">
        <v>150</v>
      </c>
      <c r="Q27" s="143" t="s">
        <v>136</v>
      </c>
      <c r="R27" s="144"/>
      <c r="S27" s="145"/>
      <c r="T27" s="143" t="s">
        <v>137</v>
      </c>
      <c r="U27" s="144"/>
      <c r="V27" s="145"/>
      <c r="W27" s="143" t="s">
        <v>151</v>
      </c>
      <c r="X27" s="144"/>
      <c r="Y27" s="145"/>
    </row>
    <row r="28" spans="1:25" x14ac:dyDescent="0.25">
      <c r="A28" s="165"/>
      <c r="B28" s="165"/>
      <c r="C28" s="165"/>
      <c r="D28" s="10" t="s">
        <v>132</v>
      </c>
      <c r="E28" s="111" t="s">
        <v>152</v>
      </c>
      <c r="F28" s="111" t="s">
        <v>153</v>
      </c>
      <c r="G28" s="10" t="s">
        <v>132</v>
      </c>
      <c r="H28" s="111" t="s">
        <v>152</v>
      </c>
      <c r="I28" s="111" t="s">
        <v>153</v>
      </c>
      <c r="J28" s="10" t="s">
        <v>132</v>
      </c>
      <c r="K28" s="111" t="s">
        <v>152</v>
      </c>
      <c r="L28" s="111" t="s">
        <v>153</v>
      </c>
      <c r="N28" s="165"/>
      <c r="O28" s="165"/>
      <c r="P28" s="165"/>
      <c r="Q28" s="10" t="s">
        <v>132</v>
      </c>
      <c r="R28" s="111" t="s">
        <v>152</v>
      </c>
      <c r="S28" s="111" t="s">
        <v>153</v>
      </c>
      <c r="T28" s="10" t="s">
        <v>132</v>
      </c>
      <c r="U28" s="111" t="s">
        <v>152</v>
      </c>
      <c r="V28" s="111" t="s">
        <v>153</v>
      </c>
      <c r="W28" s="10" t="s">
        <v>132</v>
      </c>
      <c r="X28" s="111" t="s">
        <v>152</v>
      </c>
      <c r="Y28" s="111" t="s">
        <v>153</v>
      </c>
    </row>
    <row r="29" spans="1:25" x14ac:dyDescent="0.25">
      <c r="A29" s="27"/>
      <c r="B29" s="27" t="s">
        <v>145</v>
      </c>
      <c r="C29" s="27"/>
      <c r="D29" s="27"/>
      <c r="E29" s="32"/>
      <c r="F29" s="32"/>
      <c r="G29" s="27"/>
      <c r="H29" s="32"/>
      <c r="I29" s="32"/>
      <c r="J29" s="33">
        <f>VLOOKUP(C24,'MASTER AKUN'!$H$9:$L$17,3,FALSE)</f>
        <v>20</v>
      </c>
      <c r="K29" s="32">
        <f>VLOOKUP(C24,'MASTER AKUN'!$H$9:$L$17,4,FALSE)</f>
        <v>1400000</v>
      </c>
      <c r="L29" s="32">
        <f>J29*K29</f>
        <v>28000000</v>
      </c>
      <c r="N29" s="27"/>
      <c r="O29" s="27" t="s">
        <v>145</v>
      </c>
      <c r="P29" s="27"/>
      <c r="Q29" s="27"/>
      <c r="R29" s="32"/>
      <c r="S29" s="32"/>
      <c r="T29" s="27"/>
      <c r="U29" s="32"/>
      <c r="V29" s="32"/>
      <c r="W29" s="33">
        <f>VLOOKUP(P24,'MASTER AKUN'!$H$9:$L$17,3,FALSE)</f>
        <v>12</v>
      </c>
      <c r="X29" s="32">
        <f>VLOOKUP(P24,'MASTER AKUN'!$H$9:$L$17,4,FALSE)</f>
        <v>1750000</v>
      </c>
      <c r="Y29" s="32">
        <f>W29*X29</f>
        <v>21000000</v>
      </c>
    </row>
    <row r="30" spans="1:25" x14ac:dyDescent="0.25">
      <c r="A30" s="27"/>
      <c r="B30" s="27"/>
      <c r="C30" s="27"/>
      <c r="D30" s="27">
        <f ca="1">SUMIF('JURNAL UMUM'!$D$9:$N$119,'BB PERSEDIAAN'!C24,'JURNAL UMUM'!$I$9:$I$119)</f>
        <v>0</v>
      </c>
      <c r="E30" s="27" t="e">
        <f ca="1">F30/D30</f>
        <v>#DIV/0!</v>
      </c>
      <c r="F30" s="27">
        <f ca="1">SUMIF('JURNAL UMUM'!$D$9:$N$119,'BB PERSEDIAAN'!C24,'JURNAL UMUM'!$K$9:$K$119)</f>
        <v>0</v>
      </c>
      <c r="G30" s="27">
        <f ca="1">SUMIF('JURNAL UMUM'!$D$9:$N$119,'BB PERSEDIAAN'!C24,'JURNAL UMUM'!$L$9:$L$119)</f>
        <v>12</v>
      </c>
      <c r="H30" s="32">
        <f ca="1">I30/G30</f>
        <v>1400000</v>
      </c>
      <c r="I30" s="27">
        <f ca="1">SUMIF('JURNAL UMUM'!$D$9:$N$119,'BB PERSEDIAAN'!C24,'JURNAL UMUM'!$N$9:$N$119)</f>
        <v>16800000</v>
      </c>
      <c r="J30" s="27">
        <f ca="1">J29+D30-G30</f>
        <v>8</v>
      </c>
      <c r="K30" s="32">
        <f ca="1">L30/J30</f>
        <v>1400000</v>
      </c>
      <c r="L30" s="32">
        <f ca="1">L29+F30-I30</f>
        <v>11200000</v>
      </c>
      <c r="N30" s="27"/>
      <c r="O30" s="27"/>
      <c r="P30" s="27"/>
      <c r="Q30" s="27">
        <f ca="1">SUMIF('JURNAL UMUM'!$D$9:$N$119,'BB PERSEDIAAN'!P24,'JURNAL UMUM'!$I$9:$I$119)</f>
        <v>0</v>
      </c>
      <c r="R30" s="27" t="e">
        <f ca="1">S30/Q30</f>
        <v>#DIV/0!</v>
      </c>
      <c r="S30" s="27">
        <f ca="1">SUMIF('JURNAL UMUM'!$D$9:$N$119,'BB PERSEDIAAN'!P24,'JURNAL UMUM'!$K$9:$K$119)</f>
        <v>0</v>
      </c>
      <c r="T30" s="27">
        <f ca="1">SUMIF('JURNAL UMUM'!$D$9:$N$119,'BB PERSEDIAAN'!P24,'JURNAL UMUM'!$L$9:$L$119)</f>
        <v>11</v>
      </c>
      <c r="U30" s="32">
        <f ca="1">V30/T30</f>
        <v>1750000</v>
      </c>
      <c r="V30" s="27">
        <f ca="1">SUMIF('JURNAL UMUM'!$D$9:$N$119,'BB PERSEDIAAN'!P24,'JURNAL UMUM'!$N$9:$N$119)</f>
        <v>19250000</v>
      </c>
      <c r="W30" s="27">
        <f ca="1">W29+Q30-T30</f>
        <v>1</v>
      </c>
      <c r="X30" s="32">
        <f ca="1">Y30/W30</f>
        <v>1750000</v>
      </c>
      <c r="Y30" s="32">
        <f ca="1">Y29+S30-V30</f>
        <v>1750000</v>
      </c>
    </row>
    <row r="31" spans="1:25" x14ac:dyDescent="0.25">
      <c r="A31" s="27"/>
      <c r="B31" s="27"/>
      <c r="C31" s="27"/>
      <c r="D31" s="27"/>
      <c r="E31" s="32"/>
      <c r="F31" s="32"/>
      <c r="G31" s="27"/>
      <c r="H31" s="32"/>
      <c r="I31" s="32"/>
      <c r="J31" s="27"/>
      <c r="K31" s="32"/>
      <c r="L31" s="32"/>
      <c r="N31" s="27"/>
      <c r="O31" s="27"/>
      <c r="P31" s="27"/>
      <c r="Q31" s="27"/>
      <c r="R31" s="32"/>
      <c r="S31" s="32"/>
      <c r="T31" s="27"/>
      <c r="U31" s="32"/>
      <c r="V31" s="32"/>
      <c r="W31" s="27"/>
      <c r="X31" s="32"/>
      <c r="Y31" s="32"/>
    </row>
    <row r="33" spans="1:25" x14ac:dyDescent="0.25">
      <c r="A33" s="167" t="s">
        <v>154</v>
      </c>
      <c r="B33" s="167"/>
      <c r="C33" s="34" t="s">
        <v>83</v>
      </c>
      <c r="E33" s="8"/>
      <c r="F33" s="8"/>
      <c r="H33" s="8"/>
      <c r="I33" s="8"/>
      <c r="K33" s="8"/>
      <c r="L33" s="8"/>
      <c r="N33" s="167" t="s">
        <v>154</v>
      </c>
      <c r="O33" s="167"/>
      <c r="P33" s="34" t="s">
        <v>93</v>
      </c>
      <c r="R33" s="8"/>
      <c r="S33" s="8"/>
      <c r="U33" s="8"/>
      <c r="V33" s="8"/>
      <c r="X33" s="8"/>
      <c r="Y33" s="8"/>
    </row>
    <row r="34" spans="1:25" x14ac:dyDescent="0.25">
      <c r="A34" s="167" t="s">
        <v>155</v>
      </c>
      <c r="B34" s="167"/>
      <c r="C34" s="34" t="str">
        <f>VLOOKUP(C33,'MASTER AKUN'!$H$8:$I$17,2,FALSE)</f>
        <v>STONES C303</v>
      </c>
      <c r="E34" s="8"/>
      <c r="F34" s="8"/>
      <c r="H34" s="8"/>
      <c r="I34" s="8"/>
      <c r="K34" s="8"/>
      <c r="L34" s="8"/>
      <c r="N34" s="167" t="s">
        <v>155</v>
      </c>
      <c r="O34" s="167"/>
      <c r="P34" s="34" t="str">
        <f>VLOOKUP(P33,'MASTER AKUN'!$H$8:$I$17,2,FALSE)</f>
        <v>TAMERLAND L3</v>
      </c>
      <c r="R34" s="8"/>
      <c r="S34" s="8"/>
      <c r="U34" s="8"/>
      <c r="V34" s="8"/>
      <c r="X34" s="8"/>
      <c r="Y34" s="8"/>
    </row>
    <row r="35" spans="1:25" x14ac:dyDescent="0.25">
      <c r="E35" s="8"/>
      <c r="F35" s="8"/>
      <c r="H35" s="8"/>
      <c r="I35" s="8"/>
      <c r="K35" s="8"/>
      <c r="L35" s="8"/>
      <c r="R35" s="8"/>
      <c r="S35" s="8"/>
      <c r="U35" s="8"/>
      <c r="V35" s="8"/>
      <c r="X35" s="8"/>
      <c r="Y35" s="8"/>
    </row>
    <row r="36" spans="1:25" x14ac:dyDescent="0.25">
      <c r="A36" s="168" t="s">
        <v>148</v>
      </c>
      <c r="B36" s="168" t="s">
        <v>149</v>
      </c>
      <c r="C36" s="168" t="s">
        <v>150</v>
      </c>
      <c r="D36" s="143" t="s">
        <v>136</v>
      </c>
      <c r="E36" s="144"/>
      <c r="F36" s="145"/>
      <c r="G36" s="143" t="s">
        <v>137</v>
      </c>
      <c r="H36" s="144"/>
      <c r="I36" s="145"/>
      <c r="J36" s="143" t="s">
        <v>151</v>
      </c>
      <c r="K36" s="144"/>
      <c r="L36" s="145"/>
      <c r="N36" s="168" t="s">
        <v>148</v>
      </c>
      <c r="O36" s="168" t="s">
        <v>149</v>
      </c>
      <c r="P36" s="168" t="s">
        <v>150</v>
      </c>
      <c r="Q36" s="143" t="s">
        <v>136</v>
      </c>
      <c r="R36" s="144"/>
      <c r="S36" s="145"/>
      <c r="T36" s="143" t="s">
        <v>137</v>
      </c>
      <c r="U36" s="144"/>
      <c r="V36" s="145"/>
      <c r="W36" s="143" t="s">
        <v>151</v>
      </c>
      <c r="X36" s="144"/>
      <c r="Y36" s="145"/>
    </row>
    <row r="37" spans="1:25" x14ac:dyDescent="0.25">
      <c r="A37" s="165"/>
      <c r="B37" s="165"/>
      <c r="C37" s="165"/>
      <c r="D37" s="10" t="s">
        <v>132</v>
      </c>
      <c r="E37" s="111" t="s">
        <v>152</v>
      </c>
      <c r="F37" s="111" t="s">
        <v>153</v>
      </c>
      <c r="G37" s="10" t="s">
        <v>132</v>
      </c>
      <c r="H37" s="111" t="s">
        <v>152</v>
      </c>
      <c r="I37" s="111" t="s">
        <v>153</v>
      </c>
      <c r="J37" s="10" t="s">
        <v>132</v>
      </c>
      <c r="K37" s="111" t="s">
        <v>152</v>
      </c>
      <c r="L37" s="111" t="s">
        <v>153</v>
      </c>
      <c r="N37" s="165"/>
      <c r="O37" s="165"/>
      <c r="P37" s="165"/>
      <c r="Q37" s="10" t="s">
        <v>132</v>
      </c>
      <c r="R37" s="111" t="s">
        <v>152</v>
      </c>
      <c r="S37" s="111" t="s">
        <v>153</v>
      </c>
      <c r="T37" s="10" t="s">
        <v>132</v>
      </c>
      <c r="U37" s="111" t="s">
        <v>152</v>
      </c>
      <c r="V37" s="111" t="s">
        <v>153</v>
      </c>
      <c r="W37" s="10" t="s">
        <v>132</v>
      </c>
      <c r="X37" s="111" t="s">
        <v>152</v>
      </c>
      <c r="Y37" s="111" t="s">
        <v>153</v>
      </c>
    </row>
    <row r="38" spans="1:25" x14ac:dyDescent="0.25">
      <c r="A38" s="27"/>
      <c r="B38" s="27" t="s">
        <v>145</v>
      </c>
      <c r="C38" s="27"/>
      <c r="D38" s="27"/>
      <c r="E38" s="32"/>
      <c r="F38" s="32"/>
      <c r="G38" s="27"/>
      <c r="H38" s="32"/>
      <c r="I38" s="32"/>
      <c r="J38" s="33">
        <f>VLOOKUP(C33,'MASTER AKUN'!$H$9:$L$17,3,FALSE)</f>
        <v>15</v>
      </c>
      <c r="K38" s="32">
        <f>VLOOKUP(C33,'MASTER AKUN'!$H$9:$L$17,4,FALSE)</f>
        <v>1200000</v>
      </c>
      <c r="L38" s="32">
        <f>J38*K38</f>
        <v>18000000</v>
      </c>
      <c r="N38" s="27"/>
      <c r="O38" s="27" t="s">
        <v>145</v>
      </c>
      <c r="P38" s="27"/>
      <c r="Q38" s="27"/>
      <c r="R38" s="32"/>
      <c r="S38" s="32"/>
      <c r="T38" s="27"/>
      <c r="U38" s="32"/>
      <c r="V38" s="32"/>
      <c r="W38" s="33">
        <f>VLOOKUP(P33,'MASTER AKUN'!$H$9:$L$17,3,FALSE)</f>
        <v>15</v>
      </c>
      <c r="X38" s="32">
        <f>VLOOKUP(P33,'MASTER AKUN'!$H$9:$L$17,4,FALSE)</f>
        <v>1050000</v>
      </c>
      <c r="Y38" s="32">
        <f>W38*X38</f>
        <v>15750000</v>
      </c>
    </row>
    <row r="39" spans="1:25" x14ac:dyDescent="0.25">
      <c r="A39" s="27"/>
      <c r="B39" s="27"/>
      <c r="C39" s="27"/>
      <c r="D39" s="27">
        <f ca="1">SUMIF('JURNAL UMUM'!$D$9:$N$119,'BB PERSEDIAAN'!C33,'JURNAL UMUM'!$I$9:$I$119)</f>
        <v>0</v>
      </c>
      <c r="E39" s="27" t="e">
        <f ca="1">F39/D39</f>
        <v>#DIV/0!</v>
      </c>
      <c r="F39" s="27">
        <f ca="1">SUMIF('JURNAL UMUM'!$D$9:$N$119,'BB PERSEDIAAN'!C33,'JURNAL UMUM'!$K$9:$K$119)</f>
        <v>0</v>
      </c>
      <c r="G39" s="27">
        <f ca="1">SUMIF('JURNAL UMUM'!$D$9:$N$119,'BB PERSEDIAAN'!C33,'JURNAL UMUM'!$L$9:$L$119)</f>
        <v>0</v>
      </c>
      <c r="H39" s="32" t="e">
        <f ca="1">I39/G39</f>
        <v>#DIV/0!</v>
      </c>
      <c r="I39" s="27">
        <f ca="1">SUMIF('JURNAL UMUM'!$D$9:$N$119,'BB PERSEDIAAN'!C33,'JURNAL UMUM'!$N$9:$N$119)</f>
        <v>0</v>
      </c>
      <c r="J39" s="27">
        <f ca="1">J38+D39-G39</f>
        <v>15</v>
      </c>
      <c r="K39" s="32">
        <f ca="1">L39/J39</f>
        <v>1200000</v>
      </c>
      <c r="L39" s="32">
        <f ca="1">L38+F39-I39</f>
        <v>18000000</v>
      </c>
      <c r="N39" s="27"/>
      <c r="O39" s="27"/>
      <c r="P39" s="27"/>
      <c r="Q39" s="27">
        <f ca="1">SUMIF('JURNAL UMUM'!$D$9:$N$119,'BB PERSEDIAAN'!P33,'JURNAL UMUM'!$I$9:$I$119)</f>
        <v>0</v>
      </c>
      <c r="R39" s="27" t="e">
        <f ca="1">S39/Q39</f>
        <v>#DIV/0!</v>
      </c>
      <c r="S39" s="27">
        <f ca="1">SUMIF('JURNAL UMUM'!$D$9:$N$119,'BB PERSEDIAAN'!P33,'JURNAL UMUM'!$K$9:$K$119)</f>
        <v>0</v>
      </c>
      <c r="T39" s="27">
        <f ca="1">SUMIF('JURNAL UMUM'!$D$9:$N$119,'BB PERSEDIAAN'!P33,'JURNAL UMUM'!$L$9:$L$119)</f>
        <v>7</v>
      </c>
      <c r="U39" s="32">
        <f ca="1">V39/T39</f>
        <v>1050000</v>
      </c>
      <c r="V39" s="27">
        <f ca="1">SUMIF('JURNAL UMUM'!$D$9:$N$119,'BB PERSEDIAAN'!P33,'JURNAL UMUM'!$N$9:$N$119)</f>
        <v>7350000</v>
      </c>
      <c r="W39" s="27">
        <f ca="1">W38+Q39-T39</f>
        <v>8</v>
      </c>
      <c r="X39" s="32">
        <f ca="1">Y39/W39</f>
        <v>1050000</v>
      </c>
      <c r="Y39" s="32">
        <f ca="1">Y38+S39-V39</f>
        <v>8400000</v>
      </c>
    </row>
    <row r="40" spans="1:25" x14ac:dyDescent="0.25">
      <c r="A40" s="27"/>
      <c r="B40" s="27"/>
      <c r="C40" s="27"/>
      <c r="D40" s="27"/>
      <c r="E40" s="32"/>
      <c r="F40" s="32"/>
      <c r="G40" s="27"/>
      <c r="H40" s="32"/>
      <c r="I40" s="32"/>
      <c r="J40" s="27"/>
      <c r="K40" s="32"/>
      <c r="L40" s="32"/>
      <c r="N40" s="27"/>
      <c r="O40" s="27"/>
      <c r="P40" s="27"/>
      <c r="Q40" s="27"/>
      <c r="R40" s="32"/>
      <c r="S40" s="32"/>
      <c r="T40" s="27"/>
      <c r="U40" s="32"/>
      <c r="V40" s="32"/>
      <c r="W40" s="27"/>
      <c r="X40" s="32"/>
      <c r="Y40" s="32"/>
    </row>
    <row r="42" spans="1:25" x14ac:dyDescent="0.25">
      <c r="A42" s="167" t="s">
        <v>154</v>
      </c>
      <c r="B42" s="167"/>
      <c r="C42" s="34" t="s">
        <v>85</v>
      </c>
      <c r="E42" s="8"/>
      <c r="F42" s="8"/>
      <c r="H42" s="8"/>
      <c r="I42" s="8"/>
      <c r="K42" s="8"/>
      <c r="L42" s="8"/>
    </row>
    <row r="43" spans="1:25" x14ac:dyDescent="0.25">
      <c r="A43" s="167" t="s">
        <v>155</v>
      </c>
      <c r="B43" s="167"/>
      <c r="C43" s="34" t="str">
        <f>VLOOKUP(C42,'MASTER AKUN'!$H$8:$I$17,2,FALSE)</f>
        <v>EBIET D708</v>
      </c>
      <c r="E43" s="8"/>
      <c r="F43" s="8"/>
      <c r="H43" s="8"/>
      <c r="I43" s="8"/>
      <c r="K43" s="8"/>
      <c r="L43" s="8"/>
    </row>
    <row r="44" spans="1:25" x14ac:dyDescent="0.25">
      <c r="E44" s="8"/>
      <c r="F44" s="8"/>
      <c r="H44" s="8"/>
      <c r="I44" s="8"/>
      <c r="K44" s="8"/>
      <c r="L44" s="8"/>
    </row>
    <row r="45" spans="1:25" x14ac:dyDescent="0.25">
      <c r="A45" s="168" t="s">
        <v>148</v>
      </c>
      <c r="B45" s="168" t="s">
        <v>149</v>
      </c>
      <c r="C45" s="168" t="s">
        <v>150</v>
      </c>
      <c r="D45" s="143" t="s">
        <v>136</v>
      </c>
      <c r="E45" s="144"/>
      <c r="F45" s="145"/>
      <c r="G45" s="143" t="s">
        <v>137</v>
      </c>
      <c r="H45" s="144"/>
      <c r="I45" s="145"/>
      <c r="J45" s="143" t="s">
        <v>151</v>
      </c>
      <c r="K45" s="144"/>
      <c r="L45" s="145"/>
    </row>
    <row r="46" spans="1:25" x14ac:dyDescent="0.25">
      <c r="A46" s="165"/>
      <c r="B46" s="165"/>
      <c r="C46" s="165"/>
      <c r="D46" s="10" t="s">
        <v>132</v>
      </c>
      <c r="E46" s="111" t="s">
        <v>152</v>
      </c>
      <c r="F46" s="111" t="s">
        <v>153</v>
      </c>
      <c r="G46" s="10" t="s">
        <v>132</v>
      </c>
      <c r="H46" s="111" t="s">
        <v>152</v>
      </c>
      <c r="I46" s="111" t="s">
        <v>153</v>
      </c>
      <c r="J46" s="10" t="s">
        <v>132</v>
      </c>
      <c r="K46" s="111" t="s">
        <v>152</v>
      </c>
      <c r="L46" s="111" t="s">
        <v>153</v>
      </c>
    </row>
    <row r="47" spans="1:25" x14ac:dyDescent="0.25">
      <c r="A47" s="27"/>
      <c r="B47" s="27" t="s">
        <v>145</v>
      </c>
      <c r="C47" s="27"/>
      <c r="D47" s="27"/>
      <c r="E47" s="32"/>
      <c r="F47" s="32"/>
      <c r="G47" s="27"/>
      <c r="H47" s="32"/>
      <c r="I47" s="32"/>
      <c r="J47" s="33">
        <f>VLOOKUP(C42,'MASTER AKUN'!$H$9:$L$17,3,FALSE)</f>
        <v>8</v>
      </c>
      <c r="K47" s="32">
        <f>VLOOKUP(C42,'MASTER AKUN'!$H$9:$L$17,4,FALSE)</f>
        <v>2850000</v>
      </c>
      <c r="L47" s="32">
        <f>J47*K47</f>
        <v>22800000</v>
      </c>
    </row>
    <row r="48" spans="1:25" x14ac:dyDescent="0.25">
      <c r="A48" s="27"/>
      <c r="B48" s="27"/>
      <c r="C48" s="27"/>
      <c r="D48" s="27">
        <f ca="1">SUMIF('JURNAL UMUM'!$D$9:$N$119,'BB PERSEDIAAN'!C42,'JURNAL UMUM'!$I$9:$I$119)</f>
        <v>0</v>
      </c>
      <c r="E48" s="27" t="e">
        <f ca="1">F48/D48</f>
        <v>#DIV/0!</v>
      </c>
      <c r="F48" s="27">
        <f ca="1">SUMIF('JURNAL UMUM'!$D$9:$N$119,'BB PERSEDIAAN'!C42,'JURNAL UMUM'!$K$9:$K$119)</f>
        <v>0</v>
      </c>
      <c r="G48" s="27">
        <f ca="1">SUMIF('JURNAL UMUM'!$D$9:$N$119,'BB PERSEDIAAN'!C42,'JURNAL UMUM'!$L$9:$L$119)</f>
        <v>4</v>
      </c>
      <c r="H48" s="32">
        <f ca="1">I48/G48</f>
        <v>2850000</v>
      </c>
      <c r="I48" s="27">
        <f ca="1">SUMIF('JURNAL UMUM'!$D$9:$N$119,'BB PERSEDIAAN'!C42,'JURNAL UMUM'!$N$9:$N$119)</f>
        <v>11400000</v>
      </c>
      <c r="J48" s="27">
        <f ca="1">J47+D48-G48</f>
        <v>4</v>
      </c>
      <c r="K48" s="32">
        <f ca="1">L48/J48</f>
        <v>2850000</v>
      </c>
      <c r="L48" s="32">
        <f ca="1">L47+F48-I48</f>
        <v>11400000</v>
      </c>
    </row>
    <row r="49" spans="1:12" x14ac:dyDescent="0.25">
      <c r="A49" s="27"/>
      <c r="B49" s="27"/>
      <c r="C49" s="27"/>
      <c r="D49" s="27"/>
      <c r="E49" s="32"/>
      <c r="F49" s="32"/>
      <c r="G49" s="27"/>
      <c r="H49" s="32"/>
      <c r="I49" s="32"/>
      <c r="J49" s="27"/>
      <c r="K49" s="32"/>
      <c r="L49" s="32"/>
    </row>
  </sheetData>
  <mergeCells count="75">
    <mergeCell ref="O36:O37"/>
    <mergeCell ref="P36:P37"/>
    <mergeCell ref="Q36:S36"/>
    <mergeCell ref="T36:V36"/>
    <mergeCell ref="W36:Y36"/>
    <mergeCell ref="P27:P28"/>
    <mergeCell ref="Q27:S27"/>
    <mergeCell ref="T27:V27"/>
    <mergeCell ref="W27:Y27"/>
    <mergeCell ref="N33:O33"/>
    <mergeCell ref="P18:P19"/>
    <mergeCell ref="Q18:S18"/>
    <mergeCell ref="T18:V18"/>
    <mergeCell ref="W18:Y18"/>
    <mergeCell ref="N24:O24"/>
    <mergeCell ref="N6:O6"/>
    <mergeCell ref="N7:O7"/>
    <mergeCell ref="N9:N10"/>
    <mergeCell ref="O9:O10"/>
    <mergeCell ref="P9:P10"/>
    <mergeCell ref="Q9:S9"/>
    <mergeCell ref="T9:V9"/>
    <mergeCell ref="W9:Y9"/>
    <mergeCell ref="D45:F45"/>
    <mergeCell ref="G45:I45"/>
    <mergeCell ref="J45:L45"/>
    <mergeCell ref="N15:O15"/>
    <mergeCell ref="N16:O16"/>
    <mergeCell ref="N18:N19"/>
    <mergeCell ref="O18:O19"/>
    <mergeCell ref="N25:O25"/>
    <mergeCell ref="N27:N28"/>
    <mergeCell ref="O27:O28"/>
    <mergeCell ref="N34:O34"/>
    <mergeCell ref="N36:N37"/>
    <mergeCell ref="G18:I18"/>
    <mergeCell ref="A42:B42"/>
    <mergeCell ref="A43:B43"/>
    <mergeCell ref="A45:A46"/>
    <mergeCell ref="B45:B46"/>
    <mergeCell ref="C45:C46"/>
    <mergeCell ref="D18:F18"/>
    <mergeCell ref="J18:L18"/>
    <mergeCell ref="A24:B24"/>
    <mergeCell ref="A25:B25"/>
    <mergeCell ref="A27:A28"/>
    <mergeCell ref="B27:B28"/>
    <mergeCell ref="C27:C28"/>
    <mergeCell ref="D27:F27"/>
    <mergeCell ref="G27:I27"/>
    <mergeCell ref="J27:L27"/>
    <mergeCell ref="A34:B34"/>
    <mergeCell ref="A36:A37"/>
    <mergeCell ref="B36:B37"/>
    <mergeCell ref="C36:C37"/>
    <mergeCell ref="A15:B15"/>
    <mergeCell ref="A18:A19"/>
    <mergeCell ref="B18:B19"/>
    <mergeCell ref="C18:C19"/>
    <mergeCell ref="D36:F36"/>
    <mergeCell ref="G36:I36"/>
    <mergeCell ref="J36:L36"/>
    <mergeCell ref="A16:B16"/>
    <mergeCell ref="A1:L1"/>
    <mergeCell ref="A2:L2"/>
    <mergeCell ref="A3:L3"/>
    <mergeCell ref="A9:A10"/>
    <mergeCell ref="B9:B10"/>
    <mergeCell ref="C9:C10"/>
    <mergeCell ref="D9:F9"/>
    <mergeCell ref="G9:I9"/>
    <mergeCell ref="J9:L9"/>
    <mergeCell ref="A6:B6"/>
    <mergeCell ref="A7:B7"/>
    <mergeCell ref="A33:B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3"/>
  <sheetViews>
    <sheetView topLeftCell="F1" workbookViewId="0">
      <selection activeCell="E21" sqref="E21"/>
    </sheetView>
  </sheetViews>
  <sheetFormatPr defaultRowHeight="15" x14ac:dyDescent="0.25"/>
  <cols>
    <col min="1" max="1" width="10.7109375" bestFit="1" customWidth="1"/>
    <col min="2" max="2" width="13" customWidth="1"/>
    <col min="3" max="3" width="36.28515625" style="112" customWidth="1"/>
    <col min="5" max="5" width="18.28515625" customWidth="1"/>
    <col min="6" max="6" width="19.140625" customWidth="1"/>
    <col min="7" max="7" width="15.85546875" customWidth="1"/>
    <col min="8" max="8" width="21" customWidth="1"/>
    <col min="10" max="10" width="14.28515625" customWidth="1"/>
    <col min="11" max="11" width="15" customWidth="1"/>
    <col min="12" max="12" width="31.7109375" customWidth="1"/>
    <col min="14" max="14" width="20.42578125" customWidth="1"/>
    <col min="15" max="15" width="16.7109375" customWidth="1"/>
    <col min="16" max="16" width="21.28515625" customWidth="1"/>
    <col min="17" max="17" width="24" customWidth="1"/>
  </cols>
  <sheetData>
    <row r="2" spans="1:17" ht="15.75" thickBot="1" x14ac:dyDescent="0.3"/>
    <row r="3" spans="1:17" x14ac:dyDescent="0.25">
      <c r="B3" s="89" t="s">
        <v>124</v>
      </c>
      <c r="C3" s="113"/>
    </row>
    <row r="4" spans="1:17" ht="15.75" thickBot="1" x14ac:dyDescent="0.3">
      <c r="B4" s="91" t="s">
        <v>165</v>
      </c>
      <c r="C4" s="114"/>
    </row>
    <row r="6" spans="1:17" x14ac:dyDescent="0.25">
      <c r="A6" s="167" t="s">
        <v>166</v>
      </c>
      <c r="B6" s="167"/>
      <c r="C6" s="112">
        <v>11100</v>
      </c>
      <c r="E6" s="8"/>
      <c r="F6" s="8"/>
      <c r="G6" s="8"/>
      <c r="H6" s="8"/>
      <c r="J6" s="167" t="s">
        <v>166</v>
      </c>
      <c r="K6" s="167"/>
      <c r="L6" s="112">
        <v>32000</v>
      </c>
      <c r="N6" s="8"/>
      <c r="O6" s="8"/>
      <c r="P6" s="8"/>
      <c r="Q6" s="8"/>
    </row>
    <row r="7" spans="1:17" x14ac:dyDescent="0.25">
      <c r="A7" s="167" t="s">
        <v>2</v>
      </c>
      <c r="B7" s="167"/>
      <c r="C7" s="112" t="str">
        <f>VLOOKUP(C6,'MASTER AKUN'!$A$8:$C72,2,FALSE)</f>
        <v>KAS</v>
      </c>
      <c r="E7" s="8"/>
      <c r="F7" s="8"/>
      <c r="G7" s="8"/>
      <c r="H7" s="8"/>
      <c r="J7" s="167" t="s">
        <v>2</v>
      </c>
      <c r="K7" s="167"/>
      <c r="L7" s="112" t="str">
        <f>VLOOKUP(L6,'MASTER AKUN'!$A$8:$C388,2,FALSE)</f>
        <v>Laba Ditahan Periode Lalu</v>
      </c>
      <c r="N7" s="8"/>
      <c r="O7" s="8"/>
      <c r="P7" s="8"/>
      <c r="Q7" s="8"/>
    </row>
    <row r="8" spans="1:17" x14ac:dyDescent="0.25">
      <c r="E8" s="8"/>
      <c r="F8" s="8"/>
      <c r="G8" s="8"/>
      <c r="H8" s="8"/>
      <c r="L8" s="112"/>
      <c r="N8" s="8"/>
      <c r="O8" s="8"/>
      <c r="P8" s="8"/>
      <c r="Q8" s="8"/>
    </row>
    <row r="9" spans="1:17" x14ac:dyDescent="0.25">
      <c r="A9" s="160" t="s">
        <v>142</v>
      </c>
      <c r="B9" s="160" t="s">
        <v>127</v>
      </c>
      <c r="C9" s="169" t="s">
        <v>143</v>
      </c>
      <c r="D9" s="160" t="s">
        <v>128</v>
      </c>
      <c r="E9" s="162" t="s">
        <v>129</v>
      </c>
      <c r="F9" s="162" t="s">
        <v>130</v>
      </c>
      <c r="G9" s="160" t="s">
        <v>144</v>
      </c>
      <c r="H9" s="160"/>
      <c r="J9" s="160" t="s">
        <v>142</v>
      </c>
      <c r="K9" s="160" t="s">
        <v>127</v>
      </c>
      <c r="L9" s="169" t="s">
        <v>143</v>
      </c>
      <c r="M9" s="160" t="s">
        <v>128</v>
      </c>
      <c r="N9" s="162" t="s">
        <v>129</v>
      </c>
      <c r="O9" s="162" t="s">
        <v>130</v>
      </c>
      <c r="P9" s="160" t="s">
        <v>144</v>
      </c>
      <c r="Q9" s="160"/>
    </row>
    <row r="10" spans="1:17" x14ac:dyDescent="0.25">
      <c r="A10" s="160"/>
      <c r="B10" s="160"/>
      <c r="C10" s="169"/>
      <c r="D10" s="160"/>
      <c r="E10" s="162"/>
      <c r="F10" s="162"/>
      <c r="G10" s="12" t="s">
        <v>129</v>
      </c>
      <c r="H10" s="12" t="s">
        <v>130</v>
      </c>
      <c r="J10" s="160"/>
      <c r="K10" s="160"/>
      <c r="L10" s="169"/>
      <c r="M10" s="160"/>
      <c r="N10" s="162"/>
      <c r="O10" s="162"/>
      <c r="P10" s="12" t="s">
        <v>129</v>
      </c>
      <c r="Q10" s="12" t="s">
        <v>130</v>
      </c>
    </row>
    <row r="11" spans="1:17" x14ac:dyDescent="0.25">
      <c r="A11" s="27"/>
      <c r="B11" s="27"/>
      <c r="C11" s="115" t="s">
        <v>145</v>
      </c>
      <c r="D11" s="27"/>
      <c r="E11" s="29"/>
      <c r="F11" s="29"/>
      <c r="G11" s="29">
        <f>VLOOKUP(C6,'MASTER AKUN'!$A$8:$E$72,4,FALSE)</f>
        <v>0</v>
      </c>
      <c r="H11" s="29">
        <f>VLOOKUP(C6,'MASTER AKUN'!$A$8:$E$72,5,FALSE)</f>
        <v>0</v>
      </c>
      <c r="J11" s="27"/>
      <c r="K11" s="27"/>
      <c r="L11" s="115" t="s">
        <v>145</v>
      </c>
      <c r="M11" s="27"/>
      <c r="N11" s="29"/>
      <c r="O11" s="29"/>
      <c r="P11" s="29">
        <f>VLOOKUP(L6,'MASTER AKUN'!$A$8:$E$72,4,FALSE)</f>
        <v>0</v>
      </c>
      <c r="Q11" s="29">
        <f>VLOOKUP(L6,'MASTER AKUN'!$A$8:$E$72,5,FALSE)</f>
        <v>24630000</v>
      </c>
    </row>
    <row r="12" spans="1:17" x14ac:dyDescent="0.25">
      <c r="A12" s="27"/>
      <c r="B12" s="27"/>
      <c r="C12" s="116"/>
      <c r="D12" s="27"/>
      <c r="E12" s="29"/>
      <c r="F12" s="29"/>
      <c r="G12" s="29"/>
      <c r="H12" s="29"/>
      <c r="J12" s="27"/>
      <c r="K12" s="27"/>
      <c r="L12" s="116"/>
      <c r="M12" s="27"/>
      <c r="N12" s="29"/>
      <c r="O12" s="29"/>
      <c r="P12" s="29"/>
      <c r="Q12" s="29"/>
    </row>
    <row r="13" spans="1:17" x14ac:dyDescent="0.25">
      <c r="A13" s="27"/>
      <c r="B13" s="27"/>
      <c r="C13" s="116"/>
      <c r="D13" s="27"/>
      <c r="E13" s="29"/>
      <c r="F13" s="29"/>
      <c r="G13" s="29"/>
      <c r="H13" s="29"/>
      <c r="J13" s="27"/>
      <c r="K13" s="27"/>
      <c r="L13" s="116"/>
      <c r="M13" s="27"/>
      <c r="N13" s="29"/>
      <c r="O13" s="29"/>
      <c r="P13" s="29"/>
      <c r="Q13" s="29"/>
    </row>
    <row r="14" spans="1:17" x14ac:dyDescent="0.25">
      <c r="L14" s="112"/>
    </row>
    <row r="15" spans="1:17" x14ac:dyDescent="0.25">
      <c r="A15" s="167" t="s">
        <v>166</v>
      </c>
      <c r="B15" s="167"/>
      <c r="C15" s="112">
        <v>11101</v>
      </c>
      <c r="E15" s="8"/>
      <c r="F15" s="8"/>
      <c r="G15" s="8"/>
      <c r="H15" s="8"/>
      <c r="J15" s="167" t="s">
        <v>166</v>
      </c>
      <c r="K15" s="167"/>
      <c r="L15" s="112">
        <v>33000</v>
      </c>
      <c r="N15" s="8"/>
      <c r="O15" s="8"/>
      <c r="P15" s="8"/>
      <c r="Q15" s="8"/>
    </row>
    <row r="16" spans="1:17" x14ac:dyDescent="0.25">
      <c r="A16" s="167" t="s">
        <v>2</v>
      </c>
      <c r="B16" s="167"/>
      <c r="C16" s="112" t="str">
        <f>VLOOKUP(C15,'MASTER AKUN'!$A$8:$C81,2,FALSE)</f>
        <v>Kas Di Tangan</v>
      </c>
      <c r="E16" s="8"/>
      <c r="F16" s="8"/>
      <c r="G16" s="8"/>
      <c r="H16" s="8"/>
      <c r="J16" s="167" t="s">
        <v>2</v>
      </c>
      <c r="K16" s="167"/>
      <c r="L16" s="112" t="str">
        <f>VLOOKUP(L15,'MASTER AKUN'!$A$8:$C397,2,FALSE)</f>
        <v>Laba Ditahan Periode Berjalan</v>
      </c>
      <c r="N16" s="8"/>
      <c r="O16" s="8"/>
      <c r="P16" s="8"/>
      <c r="Q16" s="8"/>
    </row>
    <row r="17" spans="1:17" x14ac:dyDescent="0.25">
      <c r="E17" s="8"/>
      <c r="F17" s="8"/>
      <c r="G17" s="8"/>
      <c r="H17" s="8"/>
      <c r="L17" s="112"/>
      <c r="N17" s="8"/>
      <c r="O17" s="8"/>
      <c r="P17" s="8"/>
      <c r="Q17" s="8"/>
    </row>
    <row r="18" spans="1:17" x14ac:dyDescent="0.25">
      <c r="A18" s="160" t="s">
        <v>142</v>
      </c>
      <c r="B18" s="160" t="s">
        <v>127</v>
      </c>
      <c r="C18" s="169" t="s">
        <v>143</v>
      </c>
      <c r="D18" s="160" t="s">
        <v>128</v>
      </c>
      <c r="E18" s="162" t="s">
        <v>129</v>
      </c>
      <c r="F18" s="162" t="s">
        <v>130</v>
      </c>
      <c r="G18" s="160" t="s">
        <v>144</v>
      </c>
      <c r="H18" s="160"/>
      <c r="J18" s="160" t="s">
        <v>142</v>
      </c>
      <c r="K18" s="160" t="s">
        <v>127</v>
      </c>
      <c r="L18" s="169" t="s">
        <v>143</v>
      </c>
      <c r="M18" s="160" t="s">
        <v>128</v>
      </c>
      <c r="N18" s="162" t="s">
        <v>129</v>
      </c>
      <c r="O18" s="162" t="s">
        <v>130</v>
      </c>
      <c r="P18" s="160" t="s">
        <v>144</v>
      </c>
      <c r="Q18" s="160"/>
    </row>
    <row r="19" spans="1:17" x14ac:dyDescent="0.25">
      <c r="A19" s="160"/>
      <c r="B19" s="160"/>
      <c r="C19" s="169"/>
      <c r="D19" s="160"/>
      <c r="E19" s="162"/>
      <c r="F19" s="162"/>
      <c r="G19" s="12" t="s">
        <v>129</v>
      </c>
      <c r="H19" s="12" t="s">
        <v>130</v>
      </c>
      <c r="J19" s="160"/>
      <c r="K19" s="160"/>
      <c r="L19" s="169"/>
      <c r="M19" s="160"/>
      <c r="N19" s="162"/>
      <c r="O19" s="162"/>
      <c r="P19" s="12" t="s">
        <v>129</v>
      </c>
      <c r="Q19" s="12" t="s">
        <v>130</v>
      </c>
    </row>
    <row r="20" spans="1:17" x14ac:dyDescent="0.25">
      <c r="A20" s="27"/>
      <c r="B20" s="27"/>
      <c r="C20" s="115" t="s">
        <v>145</v>
      </c>
      <c r="D20" s="27"/>
      <c r="E20" s="29"/>
      <c r="F20" s="29"/>
      <c r="G20" s="29">
        <f>VLOOKUP(C15,'MASTER AKUN'!$A$8:$E$72,4,FALSE)</f>
        <v>2500000</v>
      </c>
      <c r="H20" s="29">
        <f>VLOOKUP(C15,'MASTER AKUN'!$A$8:$E$72,5,FALSE)</f>
        <v>0</v>
      </c>
      <c r="J20" s="27"/>
      <c r="K20" s="27"/>
      <c r="L20" s="115" t="s">
        <v>145</v>
      </c>
      <c r="M20" s="27"/>
      <c r="N20" s="29"/>
      <c r="O20" s="29"/>
      <c r="P20" s="29">
        <f>VLOOKUP(L15,'MASTER AKUN'!$A$8:$E$72,4,FALSE)</f>
        <v>0</v>
      </c>
      <c r="Q20" s="29">
        <f>VLOOKUP(L15,'MASTER AKUN'!$A$8:$E$72,5,FALSE)</f>
        <v>0</v>
      </c>
    </row>
    <row r="21" spans="1:17" x14ac:dyDescent="0.25">
      <c r="A21" s="55">
        <v>38720</v>
      </c>
      <c r="B21" s="16" t="s">
        <v>157</v>
      </c>
      <c r="C21" s="116" t="s">
        <v>200</v>
      </c>
      <c r="D21" s="27"/>
      <c r="E21" s="29">
        <f ca="1">SUMIF('JURNAL UMUM'!$A$9:$H$13,'BUKU BESAR'!C15,'JURNAL UMUM'!$G$9:$G$13)</f>
        <v>24956250</v>
      </c>
      <c r="F21" s="29"/>
      <c r="G21" s="29">
        <f ca="1">IF(G20+E21&gt;H20+F21,(G20+E21)-(H20+F21),0)</f>
        <v>27456250</v>
      </c>
      <c r="H21" s="29"/>
      <c r="J21" s="27"/>
      <c r="K21" s="27"/>
      <c r="L21" s="116"/>
      <c r="M21" s="27"/>
      <c r="N21" s="29"/>
      <c r="O21" s="29"/>
      <c r="P21" s="29"/>
      <c r="Q21" s="29">
        <f>Q20-N21+O21</f>
        <v>0</v>
      </c>
    </row>
    <row r="22" spans="1:17" x14ac:dyDescent="0.25">
      <c r="A22" s="27"/>
      <c r="B22" s="27"/>
      <c r="C22" s="116" t="s">
        <v>201</v>
      </c>
      <c r="D22" s="27"/>
      <c r="E22" s="29">
        <f ca="1">SUMIF('JURNAL UMUM'!$A$9:$H$13,'BUKU BESAR'!C16,'JURNAL UMUM'!$G$9:$G$13)</f>
        <v>0</v>
      </c>
      <c r="F22" s="29">
        <f ca="1">SUMIF('JURNAL UMUM'!$A$9:H$45,'BUKU BESAR'!C15,'JURNAL UMUM'!$H$9:$H$45)</f>
        <v>412500</v>
      </c>
      <c r="G22" s="29">
        <f t="shared" ref="G22:G25" ca="1" si="0">IF(G21+E22&gt;H21+F22,(G21+E22)-(H21+F22),0)</f>
        <v>27043750</v>
      </c>
      <c r="H22" s="29"/>
      <c r="J22" s="27"/>
      <c r="K22" s="27"/>
      <c r="L22" s="116"/>
      <c r="M22" s="27"/>
      <c r="N22" s="29"/>
      <c r="O22" s="29"/>
      <c r="P22" s="29"/>
      <c r="Q22" s="29"/>
    </row>
    <row r="23" spans="1:17" x14ac:dyDescent="0.25">
      <c r="A23" s="2"/>
      <c r="B23" s="2"/>
      <c r="C23" s="117" t="s">
        <v>200</v>
      </c>
      <c r="D23" s="2"/>
      <c r="E23" s="29">
        <f ca="1">SUMIF('JURNAL UMUM'!$A$93:$H$93,'BUKU BESAR'!C15,'JURNAL UMUM'!$G$93)</f>
        <v>5500000</v>
      </c>
      <c r="F23" s="2"/>
      <c r="G23" s="29">
        <f t="shared" ca="1" si="0"/>
        <v>32543750</v>
      </c>
      <c r="H23" s="2"/>
      <c r="L23" s="112"/>
    </row>
    <row r="24" spans="1:17" x14ac:dyDescent="0.25">
      <c r="A24" s="2"/>
      <c r="B24" s="2"/>
      <c r="C24" s="117" t="s">
        <v>200</v>
      </c>
      <c r="D24" s="2"/>
      <c r="E24" s="29">
        <f ca="1">SUMIF('JURNAL UMUM'!$A$97:$H$97,'BUKU BESAR'!C15,'JURNAL UMUM'!$G$97)</f>
        <v>29729500</v>
      </c>
      <c r="F24" s="2"/>
      <c r="G24" s="29">
        <f t="shared" ca="1" si="0"/>
        <v>62273250</v>
      </c>
      <c r="H24" s="2"/>
      <c r="J24" s="167" t="s">
        <v>166</v>
      </c>
      <c r="K24" s="167"/>
      <c r="L24" s="112">
        <v>39999</v>
      </c>
      <c r="N24" s="8"/>
      <c r="O24" s="8"/>
      <c r="P24" s="8"/>
      <c r="Q24" s="8"/>
    </row>
    <row r="25" spans="1:17" x14ac:dyDescent="0.25">
      <c r="A25" s="2"/>
      <c r="B25" s="2"/>
      <c r="C25" s="117" t="s">
        <v>200</v>
      </c>
      <c r="D25" s="2"/>
      <c r="E25" s="29">
        <f ca="1">SUMIF('JURNAL UMUM'!$A$104:$H$104,'BUKU BESAR'!C15,'JURNAL UMUM'!$G$104)</f>
        <v>500000</v>
      </c>
      <c r="F25" s="2"/>
      <c r="G25" s="29">
        <f t="shared" ca="1" si="0"/>
        <v>62773250</v>
      </c>
      <c r="H25" s="2"/>
      <c r="J25" s="167" t="s">
        <v>2</v>
      </c>
      <c r="K25" s="167"/>
      <c r="L25" s="112" t="str">
        <f>VLOOKUP(L24,'MASTER AKUN'!$A$8:$C406,2,FALSE)</f>
        <v>Perkiraan Penyeimbang</v>
      </c>
      <c r="N25" s="8"/>
      <c r="O25" s="8"/>
      <c r="P25" s="8"/>
      <c r="Q25" s="8"/>
    </row>
    <row r="26" spans="1:17" x14ac:dyDescent="0.25">
      <c r="E26" s="56"/>
      <c r="G26" s="8"/>
      <c r="L26" s="112"/>
      <c r="N26" s="8"/>
      <c r="O26" s="8"/>
      <c r="P26" s="8"/>
      <c r="Q26" s="8"/>
    </row>
    <row r="27" spans="1:17" x14ac:dyDescent="0.25">
      <c r="E27" s="56"/>
      <c r="G27" s="8"/>
      <c r="J27" s="160" t="s">
        <v>142</v>
      </c>
      <c r="K27" s="160" t="s">
        <v>127</v>
      </c>
      <c r="L27" s="169" t="s">
        <v>143</v>
      </c>
      <c r="M27" s="160" t="s">
        <v>128</v>
      </c>
      <c r="N27" s="162" t="s">
        <v>129</v>
      </c>
      <c r="O27" s="162" t="s">
        <v>130</v>
      </c>
      <c r="P27" s="160" t="s">
        <v>144</v>
      </c>
      <c r="Q27" s="160"/>
    </row>
    <row r="28" spans="1:17" x14ac:dyDescent="0.25">
      <c r="A28" s="167" t="s">
        <v>166</v>
      </c>
      <c r="B28" s="167"/>
      <c r="C28" s="112">
        <v>11102</v>
      </c>
      <c r="E28" s="8"/>
      <c r="F28" s="8"/>
      <c r="G28" s="8"/>
      <c r="H28" s="8"/>
      <c r="J28" s="160"/>
      <c r="K28" s="160"/>
      <c r="L28" s="169"/>
      <c r="M28" s="160"/>
      <c r="N28" s="162"/>
      <c r="O28" s="162"/>
      <c r="P28" s="12" t="s">
        <v>129</v>
      </c>
      <c r="Q28" s="12" t="s">
        <v>130</v>
      </c>
    </row>
    <row r="29" spans="1:17" x14ac:dyDescent="0.25">
      <c r="A29" s="167" t="s">
        <v>2</v>
      </c>
      <c r="B29" s="167"/>
      <c r="C29" s="112" t="str">
        <f>VLOOKUP(C28,'MASTER AKUN'!$A$8:$C90,2,FALSE)</f>
        <v>Kas Kecil</v>
      </c>
      <c r="E29" s="8"/>
      <c r="F29" s="8"/>
      <c r="G29" s="8"/>
      <c r="H29" s="8"/>
      <c r="J29" s="27"/>
      <c r="K29" s="27"/>
      <c r="L29" s="115" t="s">
        <v>145</v>
      </c>
      <c r="M29" s="27"/>
      <c r="N29" s="29"/>
      <c r="O29" s="29"/>
      <c r="P29" s="29">
        <f>VLOOKUP(L24,'MASTER AKUN'!$A$8:$E$72,4,FALSE)</f>
        <v>0</v>
      </c>
      <c r="Q29" s="29">
        <f>VLOOKUP(L24,'MASTER AKUN'!$A$8:$E$72,5,FALSE)</f>
        <v>0</v>
      </c>
    </row>
    <row r="30" spans="1:17" x14ac:dyDescent="0.25">
      <c r="E30" s="8"/>
      <c r="F30" s="8"/>
      <c r="G30" s="8"/>
      <c r="H30" s="8"/>
      <c r="J30" s="27"/>
      <c r="K30" s="27"/>
      <c r="L30" s="116"/>
      <c r="M30" s="27"/>
      <c r="N30" s="29"/>
      <c r="O30" s="29"/>
      <c r="P30" s="29"/>
      <c r="Q30" s="29"/>
    </row>
    <row r="31" spans="1:17" x14ac:dyDescent="0.25">
      <c r="A31" s="160" t="s">
        <v>142</v>
      </c>
      <c r="B31" s="160" t="s">
        <v>127</v>
      </c>
      <c r="C31" s="169" t="s">
        <v>143</v>
      </c>
      <c r="D31" s="160" t="s">
        <v>128</v>
      </c>
      <c r="E31" s="162" t="s">
        <v>129</v>
      </c>
      <c r="F31" s="162" t="s">
        <v>130</v>
      </c>
      <c r="G31" s="160" t="s">
        <v>144</v>
      </c>
      <c r="H31" s="160"/>
      <c r="J31" s="27"/>
      <c r="K31" s="27"/>
      <c r="L31" s="116"/>
      <c r="M31" s="27"/>
      <c r="N31" s="29"/>
      <c r="O31" s="29"/>
      <c r="P31" s="29"/>
      <c r="Q31" s="29"/>
    </row>
    <row r="32" spans="1:17" x14ac:dyDescent="0.25">
      <c r="A32" s="160"/>
      <c r="B32" s="160"/>
      <c r="C32" s="169"/>
      <c r="D32" s="160"/>
      <c r="E32" s="162"/>
      <c r="F32" s="162"/>
      <c r="G32" s="12" t="s">
        <v>129</v>
      </c>
      <c r="H32" s="12" t="s">
        <v>130</v>
      </c>
      <c r="L32" s="112"/>
    </row>
    <row r="33" spans="1:17" x14ac:dyDescent="0.25">
      <c r="A33" s="27"/>
      <c r="B33" s="27"/>
      <c r="C33" s="115" t="s">
        <v>145</v>
      </c>
      <c r="D33" s="27"/>
      <c r="E33" s="29"/>
      <c r="F33" s="29"/>
      <c r="G33" s="29">
        <f>VLOOKUP(C28,'MASTER AKUN'!$A$8:$E$72,4,FALSE)</f>
        <v>750000</v>
      </c>
      <c r="H33" s="29">
        <f>VLOOKUP(C28,'MASTER AKUN'!$A$8:$E$72,5,FALSE)</f>
        <v>0</v>
      </c>
      <c r="J33" s="167" t="s">
        <v>166</v>
      </c>
      <c r="K33" s="167"/>
      <c r="L33" s="112">
        <v>40000</v>
      </c>
      <c r="N33" s="8"/>
      <c r="O33" s="8"/>
      <c r="P33" s="8"/>
      <c r="Q33" s="8"/>
    </row>
    <row r="34" spans="1:17" x14ac:dyDescent="0.25">
      <c r="A34" s="27"/>
      <c r="B34" s="27"/>
      <c r="C34" s="116"/>
      <c r="D34" s="27"/>
      <c r="E34" s="29">
        <f ca="1">SUMIF('JURNAL UMUM'!$A$9:$H$119,'BUKU BESAR'!C28,'JURNAL UMUM'!$G$9:$G$119)</f>
        <v>0</v>
      </c>
      <c r="F34" s="29">
        <f ca="1">SUMIF('JURNAL UMUM'!$A$9:$H$119,'BUKU BESAR'!C28,'JURNAL UMUM'!$H$9:$H$119)</f>
        <v>0</v>
      </c>
      <c r="G34" s="29">
        <f ca="1">G33+E34-F34</f>
        <v>750000</v>
      </c>
      <c r="H34" s="29"/>
      <c r="J34" s="167" t="s">
        <v>2</v>
      </c>
      <c r="K34" s="167"/>
      <c r="L34" s="112" t="str">
        <f>VLOOKUP(L33,'MASTER AKUN'!$A$8:$C415,2,FALSE)</f>
        <v>PENJUALAN BERSIH</v>
      </c>
      <c r="N34" s="8"/>
      <c r="O34" s="8"/>
      <c r="P34" s="8"/>
      <c r="Q34" s="8"/>
    </row>
    <row r="35" spans="1:17" x14ac:dyDescent="0.25">
      <c r="A35" s="27"/>
      <c r="B35" s="27"/>
      <c r="C35" s="116"/>
      <c r="D35" s="27"/>
      <c r="E35" s="29"/>
      <c r="F35" s="29"/>
      <c r="G35" s="29"/>
      <c r="H35" s="29"/>
      <c r="L35" s="112"/>
      <c r="N35" s="8"/>
      <c r="O35" s="8"/>
      <c r="P35" s="8"/>
      <c r="Q35" s="8"/>
    </row>
    <row r="36" spans="1:17" x14ac:dyDescent="0.25">
      <c r="J36" s="160" t="s">
        <v>142</v>
      </c>
      <c r="K36" s="160" t="s">
        <v>127</v>
      </c>
      <c r="L36" s="169" t="s">
        <v>143</v>
      </c>
      <c r="M36" s="160" t="s">
        <v>128</v>
      </c>
      <c r="N36" s="162" t="s">
        <v>129</v>
      </c>
      <c r="O36" s="162" t="s">
        <v>130</v>
      </c>
      <c r="P36" s="160" t="s">
        <v>144</v>
      </c>
      <c r="Q36" s="160"/>
    </row>
    <row r="37" spans="1:17" x14ac:dyDescent="0.25">
      <c r="A37" s="167" t="s">
        <v>166</v>
      </c>
      <c r="B37" s="167"/>
      <c r="C37" s="112">
        <v>11200</v>
      </c>
      <c r="E37" s="8"/>
      <c r="F37" s="8"/>
      <c r="G37" s="8"/>
      <c r="H37" s="8"/>
      <c r="J37" s="160"/>
      <c r="K37" s="160"/>
      <c r="L37" s="169"/>
      <c r="M37" s="160"/>
      <c r="N37" s="162"/>
      <c r="O37" s="162"/>
      <c r="P37" s="12" t="s">
        <v>129</v>
      </c>
      <c r="Q37" s="12" t="s">
        <v>130</v>
      </c>
    </row>
    <row r="38" spans="1:17" x14ac:dyDescent="0.25">
      <c r="A38" s="167" t="s">
        <v>2</v>
      </c>
      <c r="B38" s="167"/>
      <c r="C38" s="112" t="str">
        <f>VLOOKUP(C37,'MASTER AKUN'!$A$8:$C99,2,FALSE)</f>
        <v>Bank</v>
      </c>
      <c r="E38" s="8"/>
      <c r="F38" s="8"/>
      <c r="G38" s="8"/>
      <c r="H38" s="8"/>
      <c r="J38" s="27"/>
      <c r="K38" s="27"/>
      <c r="L38" s="115" t="s">
        <v>145</v>
      </c>
      <c r="M38" s="27"/>
      <c r="N38" s="29"/>
      <c r="O38" s="29"/>
      <c r="P38" s="29">
        <f>VLOOKUP(L33,'MASTER AKUN'!$A$8:$E$72,4,FALSE)</f>
        <v>0</v>
      </c>
      <c r="Q38" s="29">
        <f>VLOOKUP(L33,'MASTER AKUN'!$A$8:$E$72,5,FALSE)</f>
        <v>0</v>
      </c>
    </row>
    <row r="39" spans="1:17" x14ac:dyDescent="0.25">
      <c r="E39" s="8"/>
      <c r="F39" s="8"/>
      <c r="G39" s="8"/>
      <c r="H39" s="8"/>
      <c r="J39" s="27"/>
      <c r="K39" s="27"/>
      <c r="L39" s="116"/>
      <c r="M39" s="27"/>
      <c r="N39" s="29"/>
      <c r="O39" s="29"/>
      <c r="P39" s="29"/>
      <c r="Q39" s="29"/>
    </row>
    <row r="40" spans="1:17" x14ac:dyDescent="0.25">
      <c r="A40" s="160" t="s">
        <v>142</v>
      </c>
      <c r="B40" s="160" t="s">
        <v>127</v>
      </c>
      <c r="C40" s="169" t="s">
        <v>143</v>
      </c>
      <c r="D40" s="160" t="s">
        <v>128</v>
      </c>
      <c r="E40" s="162" t="s">
        <v>129</v>
      </c>
      <c r="F40" s="162" t="s">
        <v>130</v>
      </c>
      <c r="G40" s="160" t="s">
        <v>144</v>
      </c>
      <c r="H40" s="160"/>
      <c r="J40" s="27"/>
      <c r="K40" s="27"/>
      <c r="L40" s="116"/>
      <c r="M40" s="27"/>
      <c r="N40" s="29"/>
      <c r="O40" s="29"/>
      <c r="P40" s="29"/>
      <c r="Q40" s="29"/>
    </row>
    <row r="41" spans="1:17" x14ac:dyDescent="0.25">
      <c r="A41" s="160"/>
      <c r="B41" s="160"/>
      <c r="C41" s="169"/>
      <c r="D41" s="160"/>
      <c r="E41" s="162"/>
      <c r="F41" s="162"/>
      <c r="G41" s="12" t="s">
        <v>129</v>
      </c>
      <c r="H41" s="12" t="s">
        <v>130</v>
      </c>
      <c r="L41" s="112"/>
    </row>
    <row r="42" spans="1:17" x14ac:dyDescent="0.25">
      <c r="A42" s="27"/>
      <c r="B42" s="27"/>
      <c r="C42" s="115" t="s">
        <v>145</v>
      </c>
      <c r="D42" s="27"/>
      <c r="E42" s="29"/>
      <c r="F42" s="29"/>
      <c r="G42" s="29">
        <f>VLOOKUP(C37,'MASTER AKUN'!$A$8:$E$72,4,FALSE)</f>
        <v>0</v>
      </c>
      <c r="H42" s="29">
        <f>VLOOKUP(C37,'MASTER AKUN'!$A$8:$E$72,5,FALSE)</f>
        <v>0</v>
      </c>
      <c r="J42" s="167" t="s">
        <v>166</v>
      </c>
      <c r="K42" s="167"/>
      <c r="L42" s="112">
        <v>41000</v>
      </c>
      <c r="N42" s="8"/>
      <c r="O42" s="8"/>
      <c r="P42" s="8"/>
      <c r="Q42" s="8"/>
    </row>
    <row r="43" spans="1:17" x14ac:dyDescent="0.25">
      <c r="A43" s="27"/>
      <c r="B43" s="27"/>
      <c r="C43" s="116"/>
      <c r="D43" s="27"/>
      <c r="E43" s="29"/>
      <c r="F43" s="29"/>
      <c r="G43" s="29"/>
      <c r="H43" s="29"/>
      <c r="J43" s="167" t="s">
        <v>2</v>
      </c>
      <c r="K43" s="167"/>
      <c r="L43" s="112" t="str">
        <f>VLOOKUP(L42,'MASTER AKUN'!$A$8:$C424,2,FALSE)</f>
        <v>Penjualan</v>
      </c>
      <c r="N43" s="8"/>
      <c r="O43" s="8"/>
      <c r="P43" s="8"/>
      <c r="Q43" s="8"/>
    </row>
    <row r="44" spans="1:17" x14ac:dyDescent="0.25">
      <c r="A44" s="27"/>
      <c r="B44" s="27"/>
      <c r="C44" s="116"/>
      <c r="D44" s="27"/>
      <c r="E44" s="29"/>
      <c r="F44" s="29"/>
      <c r="G44" s="29"/>
      <c r="H44" s="29"/>
      <c r="L44" s="112"/>
      <c r="N44" s="8"/>
      <c r="O44" s="8"/>
      <c r="P44" s="8"/>
      <c r="Q44" s="8"/>
    </row>
    <row r="45" spans="1:17" x14ac:dyDescent="0.25">
      <c r="J45" s="160" t="s">
        <v>142</v>
      </c>
      <c r="K45" s="160" t="s">
        <v>127</v>
      </c>
      <c r="L45" s="169" t="s">
        <v>143</v>
      </c>
      <c r="M45" s="160" t="s">
        <v>128</v>
      </c>
      <c r="N45" s="162" t="s">
        <v>129</v>
      </c>
      <c r="O45" s="162" t="s">
        <v>130</v>
      </c>
      <c r="P45" s="160" t="s">
        <v>144</v>
      </c>
      <c r="Q45" s="160"/>
    </row>
    <row r="46" spans="1:17" x14ac:dyDescent="0.25">
      <c r="A46" s="167" t="s">
        <v>166</v>
      </c>
      <c r="B46" s="167"/>
      <c r="C46" s="112">
        <v>11201</v>
      </c>
      <c r="E46" s="8"/>
      <c r="F46" s="8"/>
      <c r="G46" s="8"/>
      <c r="H46" s="8"/>
      <c r="J46" s="160"/>
      <c r="K46" s="160"/>
      <c r="L46" s="169"/>
      <c r="M46" s="160"/>
      <c r="N46" s="162"/>
      <c r="O46" s="162"/>
      <c r="P46" s="12" t="s">
        <v>129</v>
      </c>
      <c r="Q46" s="12" t="s">
        <v>130</v>
      </c>
    </row>
    <row r="47" spans="1:17" x14ac:dyDescent="0.25">
      <c r="A47" s="167" t="s">
        <v>2</v>
      </c>
      <c r="B47" s="167"/>
      <c r="C47" s="112" t="str">
        <f>VLOOKUP(C46,'MASTER AKUN'!$A$8:$C108,2,FALSE)</f>
        <v>Bank BCA</v>
      </c>
      <c r="E47" s="8"/>
      <c r="F47" s="8"/>
      <c r="G47" s="8"/>
      <c r="H47" s="8"/>
      <c r="J47" s="27"/>
      <c r="K47" s="27"/>
      <c r="L47" s="115" t="s">
        <v>145</v>
      </c>
      <c r="M47" s="27"/>
      <c r="N47" s="29"/>
      <c r="O47" s="29"/>
      <c r="P47" s="29">
        <f>VLOOKUP(L42,'MASTER AKUN'!$A$8:$E$72,4,FALSE)</f>
        <v>0</v>
      </c>
      <c r="Q47" s="29">
        <f>VLOOKUP(L42,'MASTER AKUN'!$A$8:$E$72,5,FALSE)</f>
        <v>0</v>
      </c>
    </row>
    <row r="48" spans="1:17" x14ac:dyDescent="0.25">
      <c r="E48" s="8"/>
      <c r="F48" s="8"/>
      <c r="G48" s="8"/>
      <c r="H48" s="8"/>
      <c r="J48" s="43">
        <v>38720</v>
      </c>
      <c r="K48" s="2" t="s">
        <v>157</v>
      </c>
      <c r="L48" s="116" t="s">
        <v>293</v>
      </c>
      <c r="M48" s="27"/>
      <c r="N48" s="29"/>
      <c r="O48" s="29">
        <f ca="1">SUMIF('JURNAL UMUM'!$A$16:H$16,'BUKU BESAR'!L42,'JURNAL UMUM'!$H$16:$H$16)</f>
        <v>23250000</v>
      </c>
      <c r="P48" s="29"/>
      <c r="Q48" s="29">
        <f t="shared" ref="Q48:Q52" ca="1" si="1">IF(Q47+O48&gt;P47+N48,(Q47+O48)-(P47+N48),0)</f>
        <v>23250000</v>
      </c>
    </row>
    <row r="49" spans="1:17" x14ac:dyDescent="0.25">
      <c r="A49" s="160" t="s">
        <v>142</v>
      </c>
      <c r="B49" s="160" t="s">
        <v>127</v>
      </c>
      <c r="C49" s="169" t="s">
        <v>143</v>
      </c>
      <c r="D49" s="160" t="s">
        <v>128</v>
      </c>
      <c r="E49" s="162" t="s">
        <v>129</v>
      </c>
      <c r="F49" s="162" t="s">
        <v>130</v>
      </c>
      <c r="G49" s="160" t="s">
        <v>144</v>
      </c>
      <c r="H49" s="160"/>
      <c r="J49" s="43">
        <v>38739</v>
      </c>
      <c r="K49" s="2" t="s">
        <v>172</v>
      </c>
      <c r="L49" s="116" t="s">
        <v>293</v>
      </c>
      <c r="M49" s="27"/>
      <c r="N49" s="29"/>
      <c r="O49" s="29">
        <f ca="1">SUMIF('JURNAL UMUM'!$A$56:H$56,'BUKU BESAR'!L42,'JURNAL UMUM'!$H$56:$H$56)</f>
        <v>26750000</v>
      </c>
      <c r="P49" s="29"/>
      <c r="Q49" s="29">
        <f t="shared" ca="1" si="1"/>
        <v>50000000</v>
      </c>
    </row>
    <row r="50" spans="1:17" x14ac:dyDescent="0.25">
      <c r="A50" s="160"/>
      <c r="B50" s="160"/>
      <c r="C50" s="169"/>
      <c r="D50" s="160"/>
      <c r="E50" s="162"/>
      <c r="F50" s="162"/>
      <c r="G50" s="12" t="s">
        <v>129</v>
      </c>
      <c r="H50" s="12" t="s">
        <v>130</v>
      </c>
      <c r="J50" s="43">
        <v>38740</v>
      </c>
      <c r="K50" s="2" t="s">
        <v>173</v>
      </c>
      <c r="L50" s="116" t="s">
        <v>293</v>
      </c>
      <c r="M50" s="27"/>
      <c r="N50" s="29"/>
      <c r="O50" s="29">
        <f ca="1">SUMIF('JURNAL UMUM'!$A$63:H$63,'BUKU BESAR'!L42,'JURNAL UMUM'!$H$63:$H$63)</f>
        <v>36850000</v>
      </c>
      <c r="P50" s="29"/>
      <c r="Q50" s="29">
        <f t="shared" ca="1" si="1"/>
        <v>86850000</v>
      </c>
    </row>
    <row r="51" spans="1:17" x14ac:dyDescent="0.25">
      <c r="A51" s="27"/>
      <c r="B51" s="27"/>
      <c r="C51" s="115" t="s">
        <v>145</v>
      </c>
      <c r="D51" s="27"/>
      <c r="E51" s="29"/>
      <c r="F51" s="29"/>
      <c r="G51" s="29">
        <f>VLOOKUP(C46,'MASTER AKUN'!$A$8:$E$72,4,FALSE)</f>
        <v>45000000</v>
      </c>
      <c r="H51" s="29">
        <f>VLOOKUP(C46,'MASTER AKUN'!$A$8:$E$72,5,FALSE)</f>
        <v>0</v>
      </c>
      <c r="J51" s="43">
        <v>38743</v>
      </c>
      <c r="K51" s="2" t="s">
        <v>175</v>
      </c>
      <c r="L51" s="116" t="s">
        <v>293</v>
      </c>
      <c r="M51" s="27"/>
      <c r="N51" s="29"/>
      <c r="O51" s="29">
        <f ca="1">SUMIF('JURNAL UMUM'!$A$78:H$78,'BUKU BESAR'!L42,'JURNAL UMUM'!$H$78:$H$78)</f>
        <v>28690000</v>
      </c>
      <c r="P51" s="29"/>
      <c r="Q51" s="29">
        <f t="shared" ca="1" si="1"/>
        <v>115540000</v>
      </c>
    </row>
    <row r="52" spans="1:17" x14ac:dyDescent="0.25">
      <c r="A52" s="43">
        <v>38719</v>
      </c>
      <c r="B52" s="2" t="s">
        <v>167</v>
      </c>
      <c r="C52" s="116" t="s">
        <v>202</v>
      </c>
      <c r="D52" s="27"/>
      <c r="E52" s="29"/>
      <c r="F52" s="29">
        <f ca="1">SUMIF('JURNAL UMUM'!$A$10:H$10,'BUKU BESAR'!C46,'JURNAL UMUM'!$H$10:$H$10)</f>
        <v>6000000</v>
      </c>
      <c r="G52" s="29">
        <f t="shared" ref="G52:G61" ca="1" si="2">IF(G51+E52&gt;H51+F52,(G51+E52)-(H51+F52),0)</f>
        <v>39000000</v>
      </c>
      <c r="H52" s="29"/>
      <c r="J52" s="43">
        <v>38746</v>
      </c>
      <c r="K52" s="2" t="s">
        <v>180</v>
      </c>
      <c r="L52" s="116" t="s">
        <v>293</v>
      </c>
      <c r="M52" s="2"/>
      <c r="N52" s="2"/>
      <c r="O52" s="29">
        <f ca="1">SUMIF('JURNAL UMUM'!$A$100:H$100,'BUKU BESAR'!L42,'JURNAL UMUM'!$H$100:$H$100)</f>
        <v>26845000</v>
      </c>
      <c r="P52" s="2"/>
      <c r="Q52" s="29">
        <f t="shared" ca="1" si="1"/>
        <v>142385000</v>
      </c>
    </row>
    <row r="53" spans="1:17" x14ac:dyDescent="0.25">
      <c r="A53" s="43">
        <v>38719</v>
      </c>
      <c r="B53" s="2" t="s">
        <v>156</v>
      </c>
      <c r="C53" s="116" t="s">
        <v>203</v>
      </c>
      <c r="D53" s="27"/>
      <c r="E53" s="29"/>
      <c r="F53" s="29">
        <f ca="1">SUMIF('JURNAL UMUM'!$A$12:H$12,'BUKU BESAR'!C46,'JURNAL UMUM'!$H$12:$H$12)</f>
        <v>24000000</v>
      </c>
      <c r="G53" s="29">
        <f t="shared" ca="1" si="2"/>
        <v>15000000</v>
      </c>
      <c r="H53" s="29"/>
      <c r="J53" s="57"/>
      <c r="K53" s="42"/>
      <c r="L53" s="112"/>
      <c r="O53" s="56"/>
    </row>
    <row r="54" spans="1:17" x14ac:dyDescent="0.25">
      <c r="A54" s="43">
        <v>38724</v>
      </c>
      <c r="B54" s="2" t="s">
        <v>161</v>
      </c>
      <c r="C54" s="116" t="s">
        <v>204</v>
      </c>
      <c r="D54" s="27"/>
      <c r="E54" s="29">
        <f ca="1">SUMIF('JURNAL UMUM'!$A$31:$H$31,'BUKU BESAR'!C46,'JURNAL UMUM'!$G$31)</f>
        <v>30000000</v>
      </c>
      <c r="F54" s="29"/>
      <c r="G54" s="29">
        <f t="shared" ca="1" si="2"/>
        <v>45000000</v>
      </c>
      <c r="H54" s="29"/>
      <c r="J54" s="57"/>
      <c r="K54" s="42"/>
      <c r="L54" s="112"/>
      <c r="O54" s="56"/>
    </row>
    <row r="55" spans="1:17" x14ac:dyDescent="0.25">
      <c r="A55" s="43">
        <v>38726</v>
      </c>
      <c r="B55" s="2" t="s">
        <v>162</v>
      </c>
      <c r="C55" s="116" t="s">
        <v>205</v>
      </c>
      <c r="D55" s="2"/>
      <c r="E55" s="29">
        <f ca="1">SUMIF('JURNAL UMUM'!$A$33:$H$33,'BUKU BESAR'!C46,'JURNAL UMUM'!$G$33)</f>
        <v>14700000</v>
      </c>
      <c r="F55" s="2"/>
      <c r="G55" s="29">
        <f t="shared" ca="1" si="2"/>
        <v>59700000</v>
      </c>
      <c r="H55" s="2"/>
      <c r="J55" s="167" t="s">
        <v>166</v>
      </c>
      <c r="K55" s="167"/>
      <c r="L55" s="112">
        <v>42000</v>
      </c>
      <c r="N55" s="8"/>
      <c r="O55" s="8"/>
      <c r="P55" s="8"/>
      <c r="Q55" s="8"/>
    </row>
    <row r="56" spans="1:17" x14ac:dyDescent="0.25">
      <c r="A56" s="43">
        <v>38738</v>
      </c>
      <c r="B56" s="2" t="s">
        <v>171</v>
      </c>
      <c r="C56" s="116" t="s">
        <v>206</v>
      </c>
      <c r="D56" s="2"/>
      <c r="E56" s="2"/>
      <c r="F56" s="29">
        <f ca="1">SUMIF('JURNAL UMUM'!$A$54:H$54,'BUKU BESAR'!C46,'JURNAL UMUM'!$H$54:$H$54)</f>
        <v>11500000</v>
      </c>
      <c r="G56" s="29">
        <f t="shared" ca="1" si="2"/>
        <v>48200000</v>
      </c>
      <c r="H56" s="2"/>
      <c r="J56" s="167" t="s">
        <v>2</v>
      </c>
      <c r="K56" s="167"/>
      <c r="L56" s="112" t="str">
        <f>VLOOKUP(L55,'MASTER AKUN'!$A$8:$C433,2,FALSE)</f>
        <v>Retur Penjualan</v>
      </c>
      <c r="N56" s="8"/>
      <c r="O56" s="8"/>
      <c r="P56" s="8"/>
      <c r="Q56" s="8"/>
    </row>
    <row r="57" spans="1:17" x14ac:dyDescent="0.25">
      <c r="A57" s="43">
        <v>38744</v>
      </c>
      <c r="B57" s="2" t="s">
        <v>176</v>
      </c>
      <c r="C57" s="116" t="s">
        <v>207</v>
      </c>
      <c r="D57" s="2"/>
      <c r="E57" s="2"/>
      <c r="F57" s="29">
        <f ca="1">SUMIF('JURNAL UMUM'!$A$84:H$84,'BUKU BESAR'!C46,'JURNAL UMUM'!$H$84:$H$84)</f>
        <v>2500000</v>
      </c>
      <c r="G57" s="29">
        <f t="shared" ca="1" si="2"/>
        <v>45700000</v>
      </c>
      <c r="H57" s="2"/>
      <c r="L57" s="112"/>
      <c r="N57" s="8"/>
      <c r="O57" s="8"/>
      <c r="P57" s="8"/>
      <c r="Q57" s="8"/>
    </row>
    <row r="58" spans="1:17" x14ac:dyDescent="0.25">
      <c r="A58" s="43">
        <v>38745</v>
      </c>
      <c r="B58" s="2" t="s">
        <v>177</v>
      </c>
      <c r="C58" s="116" t="s">
        <v>208</v>
      </c>
      <c r="D58" s="2"/>
      <c r="E58" s="2"/>
      <c r="F58" s="29">
        <f ca="1">SUMIF('JURNAL UMUM'!$A$86:H$86,'BUKU BESAR'!C46,'JURNAL UMUM'!$H$86:$H$86)</f>
        <v>10000000</v>
      </c>
      <c r="G58" s="29">
        <f t="shared" ca="1" si="2"/>
        <v>35700000</v>
      </c>
      <c r="H58" s="2"/>
      <c r="J58" s="160" t="s">
        <v>142</v>
      </c>
      <c r="K58" s="160" t="s">
        <v>127</v>
      </c>
      <c r="L58" s="169" t="s">
        <v>143</v>
      </c>
      <c r="M58" s="160" t="s">
        <v>128</v>
      </c>
      <c r="N58" s="162" t="s">
        <v>129</v>
      </c>
      <c r="O58" s="162" t="s">
        <v>130</v>
      </c>
      <c r="P58" s="160" t="s">
        <v>144</v>
      </c>
      <c r="Q58" s="160"/>
    </row>
    <row r="59" spans="1:17" x14ac:dyDescent="0.25">
      <c r="A59" s="43">
        <v>38746</v>
      </c>
      <c r="B59" s="2" t="s">
        <v>178</v>
      </c>
      <c r="C59" s="116" t="s">
        <v>209</v>
      </c>
      <c r="D59" s="2"/>
      <c r="E59" s="2"/>
      <c r="F59" s="29">
        <f ca="1">SUMIF('JURNAL UMUM'!$A$92:H$92,'BUKU BESAR'!C46,'JURNAL UMUM'!$H$92:$H$92)</f>
        <v>1250000</v>
      </c>
      <c r="G59" s="29">
        <f t="shared" ca="1" si="2"/>
        <v>34450000</v>
      </c>
      <c r="H59" s="2"/>
      <c r="J59" s="160"/>
      <c r="K59" s="160"/>
      <c r="L59" s="169"/>
      <c r="M59" s="160"/>
      <c r="N59" s="162"/>
      <c r="O59" s="162"/>
      <c r="P59" s="12" t="s">
        <v>129</v>
      </c>
      <c r="Q59" s="12" t="s">
        <v>130</v>
      </c>
    </row>
    <row r="60" spans="1:17" x14ac:dyDescent="0.25">
      <c r="A60" s="43">
        <v>38748</v>
      </c>
      <c r="B60" s="2" t="s">
        <v>182</v>
      </c>
      <c r="C60" s="116" t="s">
        <v>210</v>
      </c>
      <c r="D60" s="2"/>
      <c r="E60" s="2"/>
      <c r="F60" s="29">
        <f ca="1">SUMIF('JURNAL UMUM'!$A$108:H$108,'BUKU BESAR'!C46,'JURNAL UMUM'!$H$108:$H$108)</f>
        <v>13775000</v>
      </c>
      <c r="G60" s="29">
        <f t="shared" ca="1" si="2"/>
        <v>20675000</v>
      </c>
      <c r="H60" s="2"/>
      <c r="J60" s="27"/>
      <c r="K60" s="27"/>
      <c r="L60" s="115" t="s">
        <v>145</v>
      </c>
      <c r="M60" s="27"/>
      <c r="N60" s="29"/>
      <c r="O60" s="29"/>
      <c r="P60" s="29">
        <f>VLOOKUP(L55,'MASTER AKUN'!$A$8:$E$72,4,FALSE)</f>
        <v>0</v>
      </c>
      <c r="Q60" s="29"/>
    </row>
    <row r="61" spans="1:17" x14ac:dyDescent="0.25">
      <c r="A61" s="43">
        <v>38748</v>
      </c>
      <c r="B61" s="2" t="s">
        <v>186</v>
      </c>
      <c r="C61" s="116" t="s">
        <v>211</v>
      </c>
      <c r="D61" s="2"/>
      <c r="E61" s="29">
        <f ca="1">SUMIF('JURNAL UMUM'!$A$118:$H$118,'BUKU BESAR'!C46,'JURNAL UMUM'!$G$118)</f>
        <v>1200000</v>
      </c>
      <c r="F61" s="29"/>
      <c r="G61" s="29">
        <f t="shared" ca="1" si="2"/>
        <v>21875000</v>
      </c>
      <c r="H61" s="2"/>
      <c r="J61" s="45">
        <v>38728</v>
      </c>
      <c r="K61" s="16" t="s">
        <v>168</v>
      </c>
      <c r="L61" s="116" t="s">
        <v>306</v>
      </c>
      <c r="M61" s="27"/>
      <c r="N61" s="29">
        <f ca="1">SUMIF('JURNAL UMUM'!$A$43:$H$43,'BUKU BESAR'!L55,'JURNAL UMUM'!$G$43)</f>
        <v>375000</v>
      </c>
      <c r="O61" s="29"/>
      <c r="P61" s="29">
        <f t="shared" ref="P61:P62" ca="1" si="3">IF(P60+N61&gt;Q60+O61,(P60+N61)-(Q60+O61),0)</f>
        <v>375000</v>
      </c>
      <c r="Q61" s="29"/>
    </row>
    <row r="62" spans="1:17" x14ac:dyDescent="0.25">
      <c r="A62" s="57"/>
      <c r="B62" s="42"/>
      <c r="C62" s="118"/>
      <c r="F62" s="56"/>
      <c r="G62" s="56"/>
      <c r="J62" s="45">
        <v>38741</v>
      </c>
      <c r="K62" s="16" t="s">
        <v>174</v>
      </c>
      <c r="L62" s="116" t="s">
        <v>307</v>
      </c>
      <c r="M62" s="27"/>
      <c r="N62" s="29">
        <f ca="1">SUMIF('JURNAL UMUM'!$A$70:$H$70,'BUKU BESAR'!L55,'JURNAL UMUM'!$G$70)</f>
        <v>1750000</v>
      </c>
      <c r="O62" s="29"/>
      <c r="P62" s="29">
        <f t="shared" ca="1" si="3"/>
        <v>2125000</v>
      </c>
      <c r="Q62" s="29"/>
    </row>
    <row r="63" spans="1:17" x14ac:dyDescent="0.25">
      <c r="A63" s="167" t="s">
        <v>166</v>
      </c>
      <c r="B63" s="167"/>
      <c r="C63" s="112">
        <v>11202</v>
      </c>
      <c r="E63" s="8"/>
      <c r="F63" s="8"/>
      <c r="G63" s="8"/>
      <c r="H63" s="8"/>
      <c r="L63" s="112"/>
    </row>
    <row r="64" spans="1:17" x14ac:dyDescent="0.25">
      <c r="A64" s="167" t="s">
        <v>2</v>
      </c>
      <c r="B64" s="167"/>
      <c r="C64" s="112" t="str">
        <f>VLOOKUP(C63,'MASTER AKUN'!$A$8:$C117,2,FALSE)</f>
        <v>Bank Mandiri</v>
      </c>
      <c r="E64" s="8"/>
      <c r="F64" s="8"/>
      <c r="G64" s="8"/>
      <c r="H64" s="8"/>
      <c r="J64" s="167" t="s">
        <v>166</v>
      </c>
      <c r="K64" s="167"/>
      <c r="L64" s="112">
        <v>43000</v>
      </c>
      <c r="N64" s="8"/>
      <c r="O64" s="8"/>
      <c r="P64" s="8"/>
      <c r="Q64" s="8"/>
    </row>
    <row r="65" spans="1:17" x14ac:dyDescent="0.25">
      <c r="E65" s="8"/>
      <c r="F65" s="8"/>
      <c r="G65" s="8"/>
      <c r="H65" s="8"/>
      <c r="J65" s="167" t="s">
        <v>2</v>
      </c>
      <c r="K65" s="167"/>
      <c r="L65" s="112" t="str">
        <f>VLOOKUP(L64,'MASTER AKUN'!$A$8:$C442,2,FALSE)</f>
        <v>Potongan Penjualan</v>
      </c>
      <c r="N65" s="8"/>
      <c r="O65" s="8"/>
      <c r="P65" s="8"/>
      <c r="Q65" s="8"/>
    </row>
    <row r="66" spans="1:17" x14ac:dyDescent="0.25">
      <c r="A66" s="160" t="s">
        <v>142</v>
      </c>
      <c r="B66" s="160" t="s">
        <v>127</v>
      </c>
      <c r="C66" s="169" t="s">
        <v>143</v>
      </c>
      <c r="D66" s="160" t="s">
        <v>128</v>
      </c>
      <c r="E66" s="162" t="s">
        <v>129</v>
      </c>
      <c r="F66" s="162" t="s">
        <v>130</v>
      </c>
      <c r="G66" s="160" t="s">
        <v>144</v>
      </c>
      <c r="H66" s="160"/>
      <c r="L66" s="112"/>
      <c r="N66" s="8"/>
      <c r="O66" s="8"/>
      <c r="P66" s="8"/>
      <c r="Q66" s="8"/>
    </row>
    <row r="67" spans="1:17" x14ac:dyDescent="0.25">
      <c r="A67" s="160"/>
      <c r="B67" s="160"/>
      <c r="C67" s="169"/>
      <c r="D67" s="160"/>
      <c r="E67" s="162"/>
      <c r="F67" s="162"/>
      <c r="G67" s="12" t="s">
        <v>129</v>
      </c>
      <c r="H67" s="12" t="s">
        <v>130</v>
      </c>
      <c r="J67" s="160" t="s">
        <v>142</v>
      </c>
      <c r="K67" s="160" t="s">
        <v>127</v>
      </c>
      <c r="L67" s="169" t="s">
        <v>143</v>
      </c>
      <c r="M67" s="160" t="s">
        <v>128</v>
      </c>
      <c r="N67" s="162" t="s">
        <v>129</v>
      </c>
      <c r="O67" s="162" t="s">
        <v>130</v>
      </c>
      <c r="P67" s="160" t="s">
        <v>144</v>
      </c>
      <c r="Q67" s="160"/>
    </row>
    <row r="68" spans="1:17" x14ac:dyDescent="0.25">
      <c r="A68" s="27"/>
      <c r="B68" s="27"/>
      <c r="C68" s="115" t="s">
        <v>145</v>
      </c>
      <c r="D68" s="27"/>
      <c r="E68" s="29"/>
      <c r="F68" s="29"/>
      <c r="G68" s="29">
        <f>VLOOKUP(C63,'MASTER AKUN'!$A$8:$E$72,4,FALSE)</f>
        <v>25000000</v>
      </c>
      <c r="H68" s="29">
        <f>VLOOKUP(C63,'MASTER AKUN'!$A$8:$E$72,5,FALSE)</f>
        <v>0</v>
      </c>
      <c r="J68" s="160"/>
      <c r="K68" s="160"/>
      <c r="L68" s="169"/>
      <c r="M68" s="160"/>
      <c r="N68" s="162"/>
      <c r="O68" s="162"/>
      <c r="P68" s="12" t="s">
        <v>129</v>
      </c>
      <c r="Q68" s="12" t="s">
        <v>130</v>
      </c>
    </row>
    <row r="69" spans="1:17" x14ac:dyDescent="0.25">
      <c r="A69" s="45">
        <v>38720</v>
      </c>
      <c r="B69" s="16" t="s">
        <v>158</v>
      </c>
      <c r="C69" s="116" t="s">
        <v>205</v>
      </c>
      <c r="D69" s="27"/>
      <c r="E69" s="29">
        <f ca="1">SUMIF('JURNAL UMUM'!$A$20:$H$20,'BUKU BESAR'!C63,'JURNAL UMUM'!$G$20)</f>
        <v>14550000</v>
      </c>
      <c r="F69" s="29"/>
      <c r="G69" s="29">
        <f t="shared" ref="G69:G77" ca="1" si="4">IF(G68+E69&gt;H68+F69,(G68+E69)-(H68+F69),0)</f>
        <v>39550000</v>
      </c>
      <c r="H69" s="29"/>
      <c r="J69" s="27"/>
      <c r="K69" s="27"/>
      <c r="L69" s="115" t="s">
        <v>145</v>
      </c>
      <c r="M69" s="27"/>
      <c r="N69" s="29"/>
      <c r="O69" s="29"/>
      <c r="P69" s="29">
        <f>VLOOKUP(L64,'MASTER AKUN'!$A$8:$E$72,4,FALSE)</f>
        <v>0</v>
      </c>
      <c r="Q69" s="29">
        <f>VLOOKUP(L64,'MASTER AKUN'!$A$8:$E$72,5,FALSE)</f>
        <v>0</v>
      </c>
    </row>
    <row r="70" spans="1:17" x14ac:dyDescent="0.25">
      <c r="A70" s="45">
        <v>38724</v>
      </c>
      <c r="B70" s="16" t="s">
        <v>161</v>
      </c>
      <c r="C70" s="116" t="s">
        <v>204</v>
      </c>
      <c r="D70" s="27"/>
      <c r="E70" s="29"/>
      <c r="F70" s="29">
        <f ca="1">SUMIF('JURNAL UMUM'!$A$32:H$32,'BUKU BESAR'!C63,'JURNAL UMUM'!$H$32:$H$32)</f>
        <v>30000000</v>
      </c>
      <c r="G70" s="29">
        <f t="shared" ca="1" si="4"/>
        <v>9550000</v>
      </c>
      <c r="H70" s="29"/>
      <c r="J70" s="43">
        <v>38720</v>
      </c>
      <c r="K70" s="2" t="s">
        <v>157</v>
      </c>
      <c r="L70" s="116" t="s">
        <v>308</v>
      </c>
      <c r="M70" s="27"/>
      <c r="N70" s="29">
        <f ca="1">SUMIF('JURNAL UMUM'!$A$14:$H$14,L64,'JURNAL UMUM'!$G$14)</f>
        <v>562500</v>
      </c>
      <c r="O70" s="29"/>
      <c r="P70" s="29">
        <f t="shared" ref="P70:P74" ca="1" si="5">IF(P69+N70&gt;Q69+O70,(P69+N70)-(Q69+O70),0)</f>
        <v>562500</v>
      </c>
      <c r="Q70" s="29"/>
    </row>
    <row r="71" spans="1:17" x14ac:dyDescent="0.25">
      <c r="A71" s="43">
        <v>38726</v>
      </c>
      <c r="B71" s="2" t="s">
        <v>163</v>
      </c>
      <c r="C71" s="116" t="s">
        <v>205</v>
      </c>
      <c r="D71" s="27"/>
      <c r="E71" s="29">
        <f ca="1">SUMIF('JURNAL UMUM'!$A$36:$H$36,'BUKU BESAR'!C63,'JURNAL UMUM'!$G$36)</f>
        <v>9800000</v>
      </c>
      <c r="F71" s="29"/>
      <c r="G71" s="29">
        <f t="shared" ca="1" si="4"/>
        <v>19350000</v>
      </c>
      <c r="H71" s="29"/>
      <c r="J71" s="43">
        <v>38720</v>
      </c>
      <c r="K71" s="2" t="s">
        <v>158</v>
      </c>
      <c r="L71" s="116" t="s">
        <v>309</v>
      </c>
      <c r="M71" s="27"/>
      <c r="N71" s="29">
        <f ca="1">SUMIF('JURNAL UMUM'!$A$21:$H$21,L64,'JURNAL UMUM'!$G$21)</f>
        <v>450000</v>
      </c>
      <c r="O71" s="29"/>
      <c r="P71" s="29">
        <f t="shared" ca="1" si="5"/>
        <v>1012500</v>
      </c>
      <c r="Q71" s="29"/>
    </row>
    <row r="72" spans="1:17" x14ac:dyDescent="0.25">
      <c r="A72" s="43">
        <v>38727</v>
      </c>
      <c r="B72" s="2" t="s">
        <v>164</v>
      </c>
      <c r="C72" s="116" t="s">
        <v>212</v>
      </c>
      <c r="D72" s="27"/>
      <c r="E72" s="29"/>
      <c r="F72" s="29">
        <f ca="1">SUMIF('JURNAL UMUM'!$A$42:H$42,'BUKU BESAR'!C63,'JURNAL UMUM'!$H$42:$H$42)</f>
        <v>2500000</v>
      </c>
      <c r="G72" s="29">
        <f t="shared" ca="1" si="4"/>
        <v>16850000</v>
      </c>
      <c r="H72" s="29"/>
      <c r="J72" s="43">
        <v>38726</v>
      </c>
      <c r="K72" s="2" t="s">
        <v>162</v>
      </c>
      <c r="L72" s="116" t="s">
        <v>310</v>
      </c>
      <c r="M72" s="27"/>
      <c r="N72" s="29">
        <f ca="1">SUMIF('JURNAL UMUM'!$A$34:$H$34,L64,'JURNAL UMUM'!$G$34)</f>
        <v>300000</v>
      </c>
      <c r="O72" s="29"/>
      <c r="P72" s="29">
        <f t="shared" ca="1" si="5"/>
        <v>1312500</v>
      </c>
      <c r="Q72" s="29"/>
    </row>
    <row r="73" spans="1:17" x14ac:dyDescent="0.25">
      <c r="A73" s="43">
        <v>38730</v>
      </c>
      <c r="B73" s="2" t="s">
        <v>169</v>
      </c>
      <c r="C73" s="116" t="s">
        <v>205</v>
      </c>
      <c r="D73" s="27"/>
      <c r="E73" s="29">
        <f ca="1">SUMIF('JURNAL UMUM'!$A$48:$H$48,'BUKU BESAR'!C63,'JURNAL UMUM'!$G$48)</f>
        <v>7500000</v>
      </c>
      <c r="F73" s="29"/>
      <c r="G73" s="29">
        <f t="shared" ca="1" si="4"/>
        <v>24350000</v>
      </c>
      <c r="H73" s="29"/>
      <c r="J73" s="43">
        <v>38726</v>
      </c>
      <c r="K73" s="2" t="s">
        <v>163</v>
      </c>
      <c r="L73" s="116" t="s">
        <v>311</v>
      </c>
      <c r="M73" s="27"/>
      <c r="N73" s="29">
        <f ca="1">SUMIF('JURNAL UMUM'!$A$37:$H$37,L64,'JURNAL UMUM'!$G$37)</f>
        <v>200000</v>
      </c>
      <c r="O73" s="29"/>
      <c r="P73" s="29">
        <f t="shared" ca="1" si="5"/>
        <v>1512500</v>
      </c>
      <c r="Q73" s="29"/>
    </row>
    <row r="74" spans="1:17" x14ac:dyDescent="0.25">
      <c r="A74" s="43">
        <v>38735</v>
      </c>
      <c r="B74" s="2" t="s">
        <v>170</v>
      </c>
      <c r="C74" s="116" t="s">
        <v>213</v>
      </c>
      <c r="D74" s="27"/>
      <c r="E74" s="29"/>
      <c r="F74" s="29">
        <f ca="1">SUMIF('JURNAL UMUM'!$A$52:H$52,'BUKU BESAR'!C63,'JURNAL UMUM'!$H$52:$H$52)</f>
        <v>387500</v>
      </c>
      <c r="G74" s="29">
        <f t="shared" ca="1" si="4"/>
        <v>23962500</v>
      </c>
      <c r="H74" s="29"/>
      <c r="J74" s="43">
        <v>38743</v>
      </c>
      <c r="K74" s="2" t="s">
        <v>175</v>
      </c>
      <c r="L74" s="116" t="s">
        <v>312</v>
      </c>
      <c r="M74" s="27"/>
      <c r="N74" s="29">
        <f ca="1">SUMIF('JURNAL UMUM'!$A$76:$H$76,L64,'JURNAL UMUM'!$G$76)</f>
        <v>1510000</v>
      </c>
      <c r="O74" s="29"/>
      <c r="P74" s="29">
        <f t="shared" ca="1" si="5"/>
        <v>3022500</v>
      </c>
      <c r="Q74" s="29"/>
    </row>
    <row r="75" spans="1:17" x14ac:dyDescent="0.25">
      <c r="A75" s="43">
        <v>38740</v>
      </c>
      <c r="B75" s="2" t="s">
        <v>173</v>
      </c>
      <c r="C75" s="116" t="s">
        <v>214</v>
      </c>
      <c r="D75" s="2"/>
      <c r="E75" s="29">
        <f ca="1">SUMIF('JURNAL UMUM'!$A$65:$H$65,'BUKU BESAR'!C63,'JURNAL UMUM'!$G$65)</f>
        <v>10000000</v>
      </c>
      <c r="F75" s="2"/>
      <c r="G75" s="29">
        <f t="shared" ca="1" si="4"/>
        <v>33962500</v>
      </c>
      <c r="H75" s="2"/>
      <c r="J75" s="57"/>
      <c r="K75" s="42"/>
      <c r="L75" s="118"/>
      <c r="M75" s="58"/>
      <c r="N75" s="56"/>
      <c r="O75" s="56"/>
      <c r="P75" s="56"/>
      <c r="Q75" s="56"/>
    </row>
    <row r="76" spans="1:17" x14ac:dyDescent="0.25">
      <c r="A76" s="43">
        <v>38743</v>
      </c>
      <c r="B76" s="2" t="s">
        <v>175</v>
      </c>
      <c r="C76" s="116" t="s">
        <v>215</v>
      </c>
      <c r="D76" s="2"/>
      <c r="E76" s="29">
        <f ca="1">SUMIF('JURNAL UMUM'!$A$75:$H$75,'BUKU BESAR'!C63,'JURNAL UMUM'!$G$75)</f>
        <v>30049000</v>
      </c>
      <c r="F76" s="2"/>
      <c r="G76" s="29">
        <f t="shared" ca="1" si="4"/>
        <v>64011500</v>
      </c>
      <c r="H76" s="2"/>
      <c r="L76" s="112"/>
    </row>
    <row r="77" spans="1:17" x14ac:dyDescent="0.25">
      <c r="A77" s="43">
        <v>38745</v>
      </c>
      <c r="B77" s="2" t="s">
        <v>177</v>
      </c>
      <c r="C77" s="116" t="s">
        <v>208</v>
      </c>
      <c r="D77" s="2"/>
      <c r="E77" s="29"/>
      <c r="F77" s="29">
        <f ca="1">SUMIF('JURNAL UMUM'!$A$87:H$87,'BUKU BESAR'!C63,'JURNAL UMUM'!$H$87:$H$87)</f>
        <v>12000000</v>
      </c>
      <c r="G77" s="29">
        <f t="shared" ca="1" si="4"/>
        <v>52011500</v>
      </c>
      <c r="H77" s="2"/>
      <c r="J77" s="167" t="s">
        <v>166</v>
      </c>
      <c r="K77" s="167"/>
      <c r="L77" s="112">
        <v>50000</v>
      </c>
      <c r="N77" s="8"/>
      <c r="O77" s="8"/>
      <c r="P77" s="8"/>
      <c r="Q77" s="8"/>
    </row>
    <row r="78" spans="1:17" x14ac:dyDescent="0.25">
      <c r="A78" s="57"/>
      <c r="B78" s="42"/>
      <c r="C78" s="118"/>
      <c r="E78" s="56"/>
      <c r="J78" s="167" t="s">
        <v>2</v>
      </c>
      <c r="K78" s="167"/>
      <c r="L78" s="112" t="str">
        <f>VLOOKUP(L77,'MASTER AKUN'!$A$8:$C451,2,FALSE)</f>
        <v>HARGA POKOK</v>
      </c>
      <c r="N78" s="8"/>
      <c r="O78" s="8"/>
      <c r="P78" s="8"/>
      <c r="Q78" s="8"/>
    </row>
    <row r="79" spans="1:17" x14ac:dyDescent="0.25">
      <c r="A79" s="167" t="s">
        <v>166</v>
      </c>
      <c r="B79" s="167"/>
      <c r="C79" s="112">
        <v>11300</v>
      </c>
      <c r="E79" s="8"/>
      <c r="F79" s="8"/>
      <c r="G79" s="8"/>
      <c r="H79" s="8"/>
      <c r="L79" s="112"/>
      <c r="N79" s="8"/>
      <c r="O79" s="8"/>
      <c r="P79" s="8"/>
      <c r="Q79" s="8"/>
    </row>
    <row r="80" spans="1:17" x14ac:dyDescent="0.25">
      <c r="A80" s="167" t="s">
        <v>2</v>
      </c>
      <c r="B80" s="167"/>
      <c r="C80" s="112" t="str">
        <f>VLOOKUP(C79,'MASTER AKUN'!$A$8:$C126,2,FALSE)</f>
        <v>PIUTANG USAHA BERSIH</v>
      </c>
      <c r="E80" s="8"/>
      <c r="F80" s="8"/>
      <c r="G80" s="8"/>
      <c r="H80" s="8"/>
      <c r="J80" s="160" t="s">
        <v>142</v>
      </c>
      <c r="K80" s="160" t="s">
        <v>127</v>
      </c>
      <c r="L80" s="169" t="s">
        <v>143</v>
      </c>
      <c r="M80" s="160" t="s">
        <v>128</v>
      </c>
      <c r="N80" s="162" t="s">
        <v>129</v>
      </c>
      <c r="O80" s="162" t="s">
        <v>130</v>
      </c>
      <c r="P80" s="160" t="s">
        <v>144</v>
      </c>
      <c r="Q80" s="160"/>
    </row>
    <row r="81" spans="1:17" x14ac:dyDescent="0.25">
      <c r="E81" s="8"/>
      <c r="F81" s="8"/>
      <c r="G81" s="8"/>
      <c r="H81" s="8"/>
      <c r="J81" s="160"/>
      <c r="K81" s="160"/>
      <c r="L81" s="169"/>
      <c r="M81" s="160"/>
      <c r="N81" s="162"/>
      <c r="O81" s="162"/>
      <c r="P81" s="12" t="s">
        <v>129</v>
      </c>
      <c r="Q81" s="12" t="s">
        <v>130</v>
      </c>
    </row>
    <row r="82" spans="1:17" x14ac:dyDescent="0.25">
      <c r="A82" s="160" t="s">
        <v>142</v>
      </c>
      <c r="B82" s="160" t="s">
        <v>127</v>
      </c>
      <c r="C82" s="169" t="s">
        <v>143</v>
      </c>
      <c r="D82" s="160" t="s">
        <v>128</v>
      </c>
      <c r="E82" s="162" t="s">
        <v>129</v>
      </c>
      <c r="F82" s="162" t="s">
        <v>130</v>
      </c>
      <c r="G82" s="160" t="s">
        <v>144</v>
      </c>
      <c r="H82" s="160"/>
      <c r="J82" s="27"/>
      <c r="K82" s="27"/>
      <c r="L82" s="115" t="s">
        <v>145</v>
      </c>
      <c r="M82" s="27"/>
      <c r="N82" s="29"/>
      <c r="O82" s="29"/>
      <c r="P82" s="29">
        <f>VLOOKUP(L77,'MASTER AKUN'!$A$8:$E$72,4,FALSE)</f>
        <v>0</v>
      </c>
      <c r="Q82" s="29">
        <f>VLOOKUP(L77,'MASTER AKUN'!$A$8:$E$72,5,FALSE)</f>
        <v>0</v>
      </c>
    </row>
    <row r="83" spans="1:17" x14ac:dyDescent="0.25">
      <c r="A83" s="160"/>
      <c r="B83" s="160"/>
      <c r="C83" s="169"/>
      <c r="D83" s="160"/>
      <c r="E83" s="162"/>
      <c r="F83" s="162"/>
      <c r="G83" s="12" t="s">
        <v>129</v>
      </c>
      <c r="H83" s="12" t="s">
        <v>130</v>
      </c>
      <c r="J83" s="27"/>
      <c r="K83" s="27"/>
      <c r="L83" s="116"/>
      <c r="M83" s="27"/>
      <c r="N83" s="29"/>
      <c r="O83" s="29"/>
      <c r="P83" s="29"/>
      <c r="Q83" s="29"/>
    </row>
    <row r="84" spans="1:17" x14ac:dyDescent="0.25">
      <c r="A84" s="27"/>
      <c r="B84" s="27"/>
      <c r="C84" s="115" t="s">
        <v>145</v>
      </c>
      <c r="D84" s="27"/>
      <c r="E84" s="29"/>
      <c r="F84" s="29"/>
      <c r="G84" s="29">
        <f>VLOOKUP(C79,'MASTER AKUN'!$A$8:$E$72,4,FALSE)</f>
        <v>0</v>
      </c>
      <c r="H84" s="29">
        <f>VLOOKUP(C79,'MASTER AKUN'!$A$8:$E$72,5,FALSE)</f>
        <v>0</v>
      </c>
      <c r="J84" s="27"/>
      <c r="K84" s="27"/>
      <c r="L84" s="116"/>
      <c r="M84" s="27"/>
      <c r="N84" s="29"/>
      <c r="O84" s="29"/>
      <c r="P84" s="29"/>
      <c r="Q84" s="29"/>
    </row>
    <row r="85" spans="1:17" x14ac:dyDescent="0.25">
      <c r="A85" s="27"/>
      <c r="B85" s="27"/>
      <c r="C85" s="116"/>
      <c r="D85" s="27"/>
      <c r="E85" s="29"/>
      <c r="F85" s="29"/>
      <c r="G85" s="29"/>
      <c r="H85" s="29"/>
      <c r="L85" s="112"/>
    </row>
    <row r="86" spans="1:17" x14ac:dyDescent="0.25">
      <c r="A86" s="27"/>
      <c r="B86" s="27"/>
      <c r="C86" s="116"/>
      <c r="D86" s="27"/>
      <c r="E86" s="29"/>
      <c r="F86" s="29"/>
      <c r="G86" s="29"/>
      <c r="H86" s="29"/>
      <c r="J86" s="167" t="s">
        <v>166</v>
      </c>
      <c r="K86" s="167"/>
      <c r="L86" s="112">
        <v>51000</v>
      </c>
      <c r="N86" s="8"/>
      <c r="O86" s="8"/>
      <c r="P86" s="8"/>
      <c r="Q86" s="8"/>
    </row>
    <row r="87" spans="1:17" x14ac:dyDescent="0.25">
      <c r="J87" s="167" t="s">
        <v>2</v>
      </c>
      <c r="K87" s="167"/>
      <c r="L87" s="112" t="str">
        <f>VLOOKUP(L86,'MASTER AKUN'!$A$8:$C460,2,FALSE)</f>
        <v>Harga Pokok Penjualan</v>
      </c>
      <c r="N87" s="8"/>
      <c r="O87" s="8"/>
      <c r="P87" s="8"/>
      <c r="Q87" s="8"/>
    </row>
    <row r="88" spans="1:17" x14ac:dyDescent="0.25">
      <c r="A88" s="167" t="s">
        <v>166</v>
      </c>
      <c r="B88" s="167"/>
      <c r="C88" s="112">
        <v>11301</v>
      </c>
      <c r="E88" s="8"/>
      <c r="F88" s="8"/>
      <c r="G88" s="8"/>
      <c r="H88" s="8"/>
      <c r="L88" s="112"/>
      <c r="N88" s="8"/>
      <c r="O88" s="8"/>
      <c r="P88" s="8"/>
      <c r="Q88" s="8"/>
    </row>
    <row r="89" spans="1:17" x14ac:dyDescent="0.25">
      <c r="A89" s="167" t="s">
        <v>2</v>
      </c>
      <c r="B89" s="167"/>
      <c r="C89" s="112" t="str">
        <f>VLOOKUP(C88,'MASTER AKUN'!$A$8:$C135,2,FALSE)</f>
        <v xml:space="preserve">Piutang Usaha </v>
      </c>
      <c r="E89" s="8"/>
      <c r="F89" s="8"/>
      <c r="G89" s="8"/>
      <c r="H89" s="8"/>
      <c r="J89" s="160" t="s">
        <v>142</v>
      </c>
      <c r="K89" s="160" t="s">
        <v>127</v>
      </c>
      <c r="L89" s="169" t="s">
        <v>143</v>
      </c>
      <c r="M89" s="160" t="s">
        <v>128</v>
      </c>
      <c r="N89" s="162" t="s">
        <v>129</v>
      </c>
      <c r="O89" s="162" t="s">
        <v>130</v>
      </c>
      <c r="P89" s="160" t="s">
        <v>144</v>
      </c>
      <c r="Q89" s="160"/>
    </row>
    <row r="90" spans="1:17" x14ac:dyDescent="0.25">
      <c r="E90" s="8"/>
      <c r="F90" s="8"/>
      <c r="G90" s="8"/>
      <c r="H90" s="8"/>
      <c r="J90" s="160"/>
      <c r="K90" s="160"/>
      <c r="L90" s="169"/>
      <c r="M90" s="160"/>
      <c r="N90" s="162"/>
      <c r="O90" s="162"/>
      <c r="P90" s="12" t="s">
        <v>129</v>
      </c>
      <c r="Q90" s="12" t="s">
        <v>130</v>
      </c>
    </row>
    <row r="91" spans="1:17" x14ac:dyDescent="0.25">
      <c r="A91" s="160" t="s">
        <v>142</v>
      </c>
      <c r="B91" s="160" t="s">
        <v>127</v>
      </c>
      <c r="C91" s="169" t="s">
        <v>143</v>
      </c>
      <c r="D91" s="160" t="s">
        <v>128</v>
      </c>
      <c r="E91" s="162" t="s">
        <v>129</v>
      </c>
      <c r="F91" s="162" t="s">
        <v>130</v>
      </c>
      <c r="G91" s="160" t="s">
        <v>144</v>
      </c>
      <c r="H91" s="160"/>
      <c r="J91" s="27"/>
      <c r="K91" s="27"/>
      <c r="L91" s="115" t="s">
        <v>145</v>
      </c>
      <c r="M91" s="27"/>
      <c r="N91" s="29"/>
      <c r="O91" s="29"/>
      <c r="P91" s="29">
        <f>VLOOKUP(L86,'MASTER AKUN'!$A$8:$E$72,4,FALSE)</f>
        <v>0</v>
      </c>
      <c r="Q91" s="29">
        <f>VLOOKUP(L86,'MASTER AKUN'!$A$8:$E$72,5,FALSE)</f>
        <v>0</v>
      </c>
    </row>
    <row r="92" spans="1:17" x14ac:dyDescent="0.25">
      <c r="A92" s="160"/>
      <c r="B92" s="160"/>
      <c r="C92" s="169"/>
      <c r="D92" s="160"/>
      <c r="E92" s="162"/>
      <c r="F92" s="162"/>
      <c r="G92" s="12" t="s">
        <v>129</v>
      </c>
      <c r="H92" s="12" t="s">
        <v>130</v>
      </c>
      <c r="J92" s="43">
        <v>38720</v>
      </c>
      <c r="K92" s="2" t="s">
        <v>157</v>
      </c>
      <c r="L92" s="116" t="s">
        <v>313</v>
      </c>
      <c r="M92" s="27"/>
      <c r="N92" s="29">
        <f ca="1">SUMIF('JURNAL UMUM'!$A$17:$H$17,L86,'JURNAL UMUM'!$G$17)</f>
        <v>19350000</v>
      </c>
      <c r="O92" s="29"/>
      <c r="P92" s="29">
        <f t="shared" ref="P92:P98" ca="1" si="6">IF(P91+N92&gt;Q91+O92,(P91+N92)-(Q91+O92),0)</f>
        <v>19350000</v>
      </c>
      <c r="Q92" s="29"/>
    </row>
    <row r="93" spans="1:17" x14ac:dyDescent="0.25">
      <c r="A93" s="27"/>
      <c r="B93" s="27"/>
      <c r="C93" s="115" t="s">
        <v>145</v>
      </c>
      <c r="D93" s="27"/>
      <c r="E93" s="29"/>
      <c r="F93" s="29"/>
      <c r="G93" s="29">
        <f>VLOOKUP(C88,'MASTER AKUN'!$A$8:$E$72,4,FALSE)</f>
        <v>47500000</v>
      </c>
      <c r="H93" s="29">
        <f>VLOOKUP(C88,'MASTER AKUN'!$A$8:$E$72,5,FALSE)</f>
        <v>0</v>
      </c>
      <c r="J93" s="43">
        <v>38728</v>
      </c>
      <c r="K93" s="2" t="s">
        <v>168</v>
      </c>
      <c r="L93" s="116" t="s">
        <v>313</v>
      </c>
      <c r="M93" s="27"/>
      <c r="N93" s="29"/>
      <c r="O93" s="29">
        <f ca="1">SUMIF('JURNAL UMUM'!$A$47:H$47,'BUKU BESAR'!L86,'JURNAL UMUM'!$H$47:$H$47)</f>
        <v>325000</v>
      </c>
      <c r="P93" s="29">
        <f t="shared" ca="1" si="6"/>
        <v>19025000</v>
      </c>
      <c r="Q93" s="29"/>
    </row>
    <row r="94" spans="1:17" x14ac:dyDescent="0.25">
      <c r="A94" s="43">
        <v>38720</v>
      </c>
      <c r="B94" s="2" t="s">
        <v>158</v>
      </c>
      <c r="C94" s="116" t="s">
        <v>205</v>
      </c>
      <c r="D94" s="27"/>
      <c r="E94" s="29"/>
      <c r="F94" s="29">
        <f ca="1">SUMIF('JURNAL UMUM'!$A$22:H$22,'BUKU BESAR'!C88,'JURNAL UMUM'!$H$22:$H$22)</f>
        <v>15000000</v>
      </c>
      <c r="G94" s="29">
        <f t="shared" ref="G94:G100" ca="1" si="7">IF(G93+E94&gt;H93+F94,(G93+E94)-(H93+F94),0)</f>
        <v>32500000</v>
      </c>
      <c r="H94" s="29"/>
      <c r="J94" s="43">
        <v>38739</v>
      </c>
      <c r="K94" s="2" t="s">
        <v>172</v>
      </c>
      <c r="L94" s="116" t="s">
        <v>313</v>
      </c>
      <c r="M94" s="27"/>
      <c r="N94" s="29">
        <f ca="1">SUMIF('JURNAL UMUM'!$A$58:$H$58,L86,'JURNAL UMUM'!$G$58)</f>
        <v>21940000</v>
      </c>
      <c r="O94" s="29"/>
      <c r="P94" s="29">
        <f t="shared" ca="1" si="6"/>
        <v>40965000</v>
      </c>
      <c r="Q94" s="29"/>
    </row>
    <row r="95" spans="1:17" x14ac:dyDescent="0.25">
      <c r="A95" s="43">
        <v>38726</v>
      </c>
      <c r="B95" s="2" t="s">
        <v>162</v>
      </c>
      <c r="C95" s="116" t="s">
        <v>205</v>
      </c>
      <c r="D95" s="27"/>
      <c r="E95" s="29"/>
      <c r="F95" s="29">
        <f ca="1">SUMIF('JURNAL UMUM'!$A$35:H$35,'BUKU BESAR'!C88,'JURNAL UMUM'!$H$35:$H$35)</f>
        <v>15000000</v>
      </c>
      <c r="G95" s="29">
        <f t="shared" ca="1" si="7"/>
        <v>17500000</v>
      </c>
      <c r="H95" s="29"/>
      <c r="J95" s="43">
        <v>38740</v>
      </c>
      <c r="K95" s="2" t="s">
        <v>173</v>
      </c>
      <c r="L95" s="116" t="s">
        <v>313</v>
      </c>
      <c r="M95" s="27"/>
      <c r="N95" s="29">
        <f ca="1">SUMIF('JURNAL UMUM'!$A$66:$H$66,L86,'JURNAL UMUM'!$G$66)</f>
        <v>29150000</v>
      </c>
      <c r="O95" s="2"/>
      <c r="P95" s="29">
        <f t="shared" ca="1" si="6"/>
        <v>70115000</v>
      </c>
      <c r="Q95" s="29"/>
    </row>
    <row r="96" spans="1:17" x14ac:dyDescent="0.25">
      <c r="A96" s="43">
        <v>38726</v>
      </c>
      <c r="B96" s="2" t="s">
        <v>163</v>
      </c>
      <c r="C96" s="116" t="s">
        <v>205</v>
      </c>
      <c r="D96" s="27"/>
      <c r="E96" s="29"/>
      <c r="F96" s="29">
        <f ca="1">SUMIF('JURNAL UMUM'!$A$38:H$38,'BUKU BESAR'!C88,'JURNAL UMUM'!$H$38:$H$38)</f>
        <v>10000000</v>
      </c>
      <c r="G96" s="29">
        <f t="shared" ca="1" si="7"/>
        <v>7500000</v>
      </c>
      <c r="H96" s="29"/>
      <c r="J96" s="43">
        <v>38741</v>
      </c>
      <c r="K96" s="2" t="s">
        <v>174</v>
      </c>
      <c r="L96" s="116" t="s">
        <v>313</v>
      </c>
      <c r="M96" s="27"/>
      <c r="N96" s="29">
        <f ca="1">SUMIF('JURNAL UMUM'!$A$66:$H$66,L87,'JURNAL UMUM'!$G$66)</f>
        <v>0</v>
      </c>
      <c r="O96" s="29">
        <f ca="1">SUMIF('JURNAL UMUM'!$A$74:H$74,'BUKU BESAR'!L86,'JURNAL UMUM'!$H$74)</f>
        <v>1400000</v>
      </c>
      <c r="P96" s="29">
        <f t="shared" ca="1" si="6"/>
        <v>68715000</v>
      </c>
      <c r="Q96" s="29"/>
    </row>
    <row r="97" spans="1:17" x14ac:dyDescent="0.25">
      <c r="A97" s="43">
        <v>38730</v>
      </c>
      <c r="B97" s="2" t="s">
        <v>169</v>
      </c>
      <c r="C97" s="116" t="s">
        <v>205</v>
      </c>
      <c r="D97" s="27"/>
      <c r="E97" s="29"/>
      <c r="F97" s="29">
        <f ca="1">SUMIF('JURNAL UMUM'!$A$49:H$49,'BUKU BESAR'!C88,'JURNAL UMUM'!$H$49:$H$49)</f>
        <v>7500000</v>
      </c>
      <c r="G97" s="29">
        <f t="shared" ca="1" si="7"/>
        <v>0</v>
      </c>
      <c r="H97" s="29"/>
      <c r="J97" s="43">
        <v>38743</v>
      </c>
      <c r="K97" s="2" t="s">
        <v>175</v>
      </c>
      <c r="L97" s="116" t="s">
        <v>313</v>
      </c>
      <c r="M97" s="27"/>
      <c r="N97" s="29">
        <f ca="1">SUMIF('JURNAL UMUM'!$A$79:$H$79,L86,'JURNAL UMUM'!$G$79)</f>
        <v>24250000</v>
      </c>
      <c r="O97" s="29"/>
      <c r="P97" s="29">
        <f t="shared" ca="1" si="6"/>
        <v>92965000</v>
      </c>
      <c r="Q97" s="29"/>
    </row>
    <row r="98" spans="1:17" x14ac:dyDescent="0.25">
      <c r="A98" s="43">
        <v>38739</v>
      </c>
      <c r="B98" s="2" t="s">
        <v>172</v>
      </c>
      <c r="C98" s="116" t="s">
        <v>216</v>
      </c>
      <c r="D98" s="27"/>
      <c r="E98" s="29">
        <f ca="1">SUMIF('JURNAL UMUM'!$A$55:$H$55,'BUKU BESAR'!C88,'JURNAL UMUM'!$G$55)</f>
        <v>29425000</v>
      </c>
      <c r="F98" s="29"/>
      <c r="G98" s="29">
        <f t="shared" ca="1" si="7"/>
        <v>29425000</v>
      </c>
      <c r="H98" s="29"/>
      <c r="J98" s="43">
        <v>38746</v>
      </c>
      <c r="K98" s="2" t="s">
        <v>180</v>
      </c>
      <c r="L98" s="116" t="s">
        <v>313</v>
      </c>
      <c r="M98" s="27"/>
      <c r="N98" s="29">
        <f ca="1">SUMIF('JURNAL UMUM'!$A$101:$H$101,L86,'JURNAL UMUM'!$G$101)</f>
        <v>23375000</v>
      </c>
      <c r="O98" s="29"/>
      <c r="P98" s="29">
        <f t="shared" ca="1" si="6"/>
        <v>116340000</v>
      </c>
      <c r="Q98" s="29"/>
    </row>
    <row r="99" spans="1:17" x14ac:dyDescent="0.25">
      <c r="A99" s="43">
        <v>38740</v>
      </c>
      <c r="B99" s="2" t="s">
        <v>173</v>
      </c>
      <c r="C99" s="116" t="s">
        <v>216</v>
      </c>
      <c r="D99" s="27"/>
      <c r="E99" s="29">
        <f ca="1">SUMIF('JURNAL UMUM'!$A$62:$H$62,'BUKU BESAR'!C88,'JURNAL UMUM'!$G$62)</f>
        <v>30535000</v>
      </c>
      <c r="F99" s="29"/>
      <c r="G99" s="29">
        <f t="shared" ca="1" si="7"/>
        <v>59960000</v>
      </c>
      <c r="H99" s="29"/>
      <c r="J99" s="57"/>
      <c r="K99" s="42"/>
      <c r="L99" s="118"/>
      <c r="M99" s="58"/>
      <c r="N99" s="56"/>
      <c r="O99" s="56"/>
      <c r="P99" s="56"/>
      <c r="Q99" s="56"/>
    </row>
    <row r="100" spans="1:17" x14ac:dyDescent="0.25">
      <c r="A100" s="43">
        <v>38741</v>
      </c>
      <c r="B100" s="2" t="s">
        <v>174</v>
      </c>
      <c r="C100" s="116" t="s">
        <v>217</v>
      </c>
      <c r="D100" s="27"/>
      <c r="E100" s="29"/>
      <c r="F100" s="29">
        <f ca="1">SUMIF('JURNAL UMUM'!$A$72:H$72,'BUKU BESAR'!C88,'JURNAL UMUM'!$H$72:$H$72)</f>
        <v>1925000</v>
      </c>
      <c r="G100" s="29">
        <f t="shared" ca="1" si="7"/>
        <v>58035000</v>
      </c>
      <c r="H100" s="29"/>
      <c r="L100" s="112"/>
    </row>
    <row r="101" spans="1:17" x14ac:dyDescent="0.25">
      <c r="A101" s="43"/>
      <c r="B101" s="2"/>
      <c r="C101" s="116"/>
      <c r="D101" s="27"/>
      <c r="E101" s="29"/>
      <c r="F101" s="29"/>
      <c r="G101" s="29"/>
      <c r="H101" s="29"/>
      <c r="J101" s="167" t="s">
        <v>166</v>
      </c>
      <c r="K101" s="167"/>
      <c r="L101" s="112">
        <v>60000</v>
      </c>
      <c r="N101" s="8"/>
      <c r="O101" s="8"/>
      <c r="P101" s="8"/>
      <c r="Q101" s="8"/>
    </row>
    <row r="102" spans="1:17" x14ac:dyDescent="0.25">
      <c r="A102" s="43"/>
      <c r="B102" s="2"/>
      <c r="C102" s="116"/>
      <c r="D102" s="27"/>
      <c r="E102" s="29"/>
      <c r="F102" s="29"/>
      <c r="G102" s="29"/>
      <c r="H102" s="29"/>
      <c r="J102" s="167" t="s">
        <v>2</v>
      </c>
      <c r="K102" s="167"/>
      <c r="L102" s="112" t="str">
        <f>VLOOKUP(L101,'MASTER AKUN'!$A$8:$C469,2,FALSE)</f>
        <v>BEBAN USAHA</v>
      </c>
      <c r="N102" s="8"/>
      <c r="O102" s="8"/>
      <c r="P102" s="8"/>
      <c r="Q102" s="8"/>
    </row>
    <row r="103" spans="1:17" x14ac:dyDescent="0.25">
      <c r="A103" s="2"/>
      <c r="B103" s="2"/>
      <c r="C103" s="117"/>
      <c r="D103" s="2"/>
      <c r="E103" s="2"/>
      <c r="F103" s="2"/>
      <c r="G103" s="2"/>
      <c r="H103" s="2"/>
      <c r="L103" s="112"/>
      <c r="N103" s="8"/>
      <c r="O103" s="8"/>
      <c r="P103" s="8"/>
      <c r="Q103" s="8"/>
    </row>
    <row r="104" spans="1:17" x14ac:dyDescent="0.25">
      <c r="A104" s="42"/>
      <c r="B104" s="42"/>
      <c r="C104" s="119"/>
      <c r="D104" s="42"/>
      <c r="E104" s="42"/>
      <c r="F104" s="42"/>
      <c r="G104" s="42"/>
      <c r="H104" s="42"/>
      <c r="J104" s="160" t="s">
        <v>142</v>
      </c>
      <c r="K104" s="160" t="s">
        <v>127</v>
      </c>
      <c r="L104" s="169" t="s">
        <v>143</v>
      </c>
      <c r="M104" s="160" t="s">
        <v>128</v>
      </c>
      <c r="N104" s="162" t="s">
        <v>129</v>
      </c>
      <c r="O104" s="162" t="s">
        <v>130</v>
      </c>
      <c r="P104" s="160" t="s">
        <v>144</v>
      </c>
      <c r="Q104" s="160"/>
    </row>
    <row r="105" spans="1:17" x14ac:dyDescent="0.25">
      <c r="A105" s="167" t="s">
        <v>166</v>
      </c>
      <c r="B105" s="167"/>
      <c r="C105" s="112">
        <v>11302</v>
      </c>
      <c r="E105" s="8"/>
      <c r="F105" s="8"/>
      <c r="G105" s="8"/>
      <c r="H105" s="8"/>
      <c r="J105" s="160"/>
      <c r="K105" s="160"/>
      <c r="L105" s="169"/>
      <c r="M105" s="160"/>
      <c r="N105" s="162"/>
      <c r="O105" s="162"/>
      <c r="P105" s="12" t="s">
        <v>129</v>
      </c>
      <c r="Q105" s="12" t="s">
        <v>130</v>
      </c>
    </row>
    <row r="106" spans="1:17" x14ac:dyDescent="0.25">
      <c r="A106" s="167" t="s">
        <v>2</v>
      </c>
      <c r="B106" s="167"/>
      <c r="C106" s="112" t="str">
        <f>VLOOKUP(C105,'MASTER AKUN'!$A$8:$C144,2,FALSE)</f>
        <v>Cadangan Piutang Tak Tertagih</v>
      </c>
      <c r="E106" s="8"/>
      <c r="F106" s="8"/>
      <c r="G106" s="8"/>
      <c r="H106" s="8"/>
      <c r="J106" s="27"/>
      <c r="K106" s="27"/>
      <c r="L106" s="115" t="s">
        <v>145</v>
      </c>
      <c r="M106" s="27"/>
      <c r="N106" s="29"/>
      <c r="O106" s="29"/>
      <c r="P106" s="29">
        <f>VLOOKUP(L101,'MASTER AKUN'!$A$8:$E$72,4,FALSE)</f>
        <v>0</v>
      </c>
      <c r="Q106" s="29">
        <f>VLOOKUP(L101,'MASTER AKUN'!$A$8:$E$72,5,FALSE)</f>
        <v>0</v>
      </c>
    </row>
    <row r="107" spans="1:17" x14ac:dyDescent="0.25">
      <c r="E107" s="8"/>
      <c r="F107" s="8"/>
      <c r="G107" s="8"/>
      <c r="H107" s="8"/>
      <c r="J107" s="27"/>
      <c r="K107" s="27"/>
      <c r="L107" s="116"/>
      <c r="M107" s="27"/>
      <c r="N107" s="29"/>
      <c r="O107" s="29"/>
      <c r="P107" s="29"/>
      <c r="Q107" s="29"/>
    </row>
    <row r="108" spans="1:17" x14ac:dyDescent="0.25">
      <c r="A108" s="160" t="s">
        <v>142</v>
      </c>
      <c r="B108" s="160" t="s">
        <v>127</v>
      </c>
      <c r="C108" s="169" t="s">
        <v>143</v>
      </c>
      <c r="D108" s="160" t="s">
        <v>128</v>
      </c>
      <c r="E108" s="162" t="s">
        <v>129</v>
      </c>
      <c r="F108" s="162" t="s">
        <v>130</v>
      </c>
      <c r="G108" s="160" t="s">
        <v>144</v>
      </c>
      <c r="H108" s="160"/>
      <c r="J108" s="27"/>
      <c r="K108" s="27"/>
      <c r="L108" s="116"/>
      <c r="M108" s="27"/>
      <c r="N108" s="29"/>
      <c r="O108" s="29"/>
      <c r="P108" s="29"/>
      <c r="Q108" s="29"/>
    </row>
    <row r="109" spans="1:17" x14ac:dyDescent="0.25">
      <c r="A109" s="160"/>
      <c r="B109" s="160"/>
      <c r="C109" s="169"/>
      <c r="D109" s="160"/>
      <c r="E109" s="162"/>
      <c r="F109" s="162"/>
      <c r="G109" s="12" t="s">
        <v>129</v>
      </c>
      <c r="H109" s="12" t="s">
        <v>130</v>
      </c>
      <c r="L109" s="112"/>
    </row>
    <row r="110" spans="1:17" x14ac:dyDescent="0.25">
      <c r="A110" s="27"/>
      <c r="B110" s="27"/>
      <c r="C110" s="115" t="s">
        <v>145</v>
      </c>
      <c r="D110" s="27"/>
      <c r="E110" s="29"/>
      <c r="F110" s="29"/>
      <c r="G110" s="29">
        <f>VLOOKUP(C105,'MASTER AKUN'!$A$8:$E$72,4,FALSE)</f>
        <v>0</v>
      </c>
      <c r="H110" s="29">
        <f>VLOOKUP(C105,'MASTER AKUN'!$A$8:$E$72,5,FALSE)</f>
        <v>0</v>
      </c>
      <c r="J110" s="167" t="s">
        <v>166</v>
      </c>
      <c r="K110" s="167"/>
      <c r="L110" s="112">
        <v>61001</v>
      </c>
      <c r="N110" s="8"/>
      <c r="O110" s="8"/>
      <c r="P110" s="8"/>
      <c r="Q110" s="8"/>
    </row>
    <row r="111" spans="1:17" x14ac:dyDescent="0.25">
      <c r="A111" s="45">
        <v>38748</v>
      </c>
      <c r="B111" s="16" t="s">
        <v>185</v>
      </c>
      <c r="C111" s="116" t="s">
        <v>292</v>
      </c>
      <c r="D111" s="27"/>
      <c r="E111" s="29">
        <f ca="1">SUMIF('JURNAL UMUM'!$A$62:$H$62,'BUKU BESAR'!C99,'JURNAL UMUM'!$G$62)</f>
        <v>0</v>
      </c>
      <c r="F111" s="29">
        <f ca="1">SUMIF('JURNAL UMUM'!$A$116:H$116,'BUKU BESAR'!C105,'JURNAL UMUM'!$H$116:$H$116)</f>
        <v>2901750</v>
      </c>
      <c r="G111" s="29">
        <f t="shared" ref="G111" ca="1" si="8">IF(G110+E111&gt;H110+F111,(G110+E111)-(H110+F111),0)</f>
        <v>0</v>
      </c>
      <c r="H111" s="29">
        <f ca="1">IF(H110+F111&gt;G110+E111,(H110+F111)-(G110+E111),0)</f>
        <v>2901750</v>
      </c>
      <c r="J111" s="167" t="s">
        <v>2</v>
      </c>
      <c r="K111" s="167"/>
      <c r="L111" s="112" t="str">
        <f>VLOOKUP(L110,'MASTER AKUN'!$A$8:$C478,2,FALSE)</f>
        <v>Beban Gaji Karyawan</v>
      </c>
      <c r="N111" s="8"/>
      <c r="O111" s="8"/>
      <c r="P111" s="8"/>
      <c r="Q111" s="8"/>
    </row>
    <row r="112" spans="1:17" x14ac:dyDescent="0.25">
      <c r="A112" s="27"/>
      <c r="B112" s="27"/>
      <c r="C112" s="116"/>
      <c r="D112" s="27"/>
      <c r="E112" s="29"/>
      <c r="F112" s="29"/>
      <c r="G112" s="29"/>
      <c r="H112" s="29"/>
      <c r="L112" s="112"/>
      <c r="N112" s="8"/>
      <c r="O112" s="8"/>
      <c r="P112" s="8"/>
      <c r="Q112" s="8"/>
    </row>
    <row r="113" spans="1:17" x14ac:dyDescent="0.25">
      <c r="J113" s="160" t="s">
        <v>142</v>
      </c>
      <c r="K113" s="160" t="s">
        <v>127</v>
      </c>
      <c r="L113" s="169" t="s">
        <v>143</v>
      </c>
      <c r="M113" s="160" t="s">
        <v>128</v>
      </c>
      <c r="N113" s="162" t="s">
        <v>129</v>
      </c>
      <c r="O113" s="162" t="s">
        <v>130</v>
      </c>
      <c r="P113" s="160" t="s">
        <v>144</v>
      </c>
      <c r="Q113" s="160"/>
    </row>
    <row r="114" spans="1:17" x14ac:dyDescent="0.25">
      <c r="A114" s="167" t="s">
        <v>166</v>
      </c>
      <c r="B114" s="167"/>
      <c r="C114" s="112">
        <v>11400</v>
      </c>
      <c r="E114" s="8"/>
      <c r="F114" s="8"/>
      <c r="G114" s="8"/>
      <c r="H114" s="8"/>
      <c r="J114" s="160"/>
      <c r="K114" s="160"/>
      <c r="L114" s="169"/>
      <c r="M114" s="160"/>
      <c r="N114" s="162"/>
      <c r="O114" s="162"/>
      <c r="P114" s="12" t="s">
        <v>129</v>
      </c>
      <c r="Q114" s="12" t="s">
        <v>130</v>
      </c>
    </row>
    <row r="115" spans="1:17" x14ac:dyDescent="0.25">
      <c r="A115" s="167" t="s">
        <v>2</v>
      </c>
      <c r="B115" s="167"/>
      <c r="C115" s="112" t="str">
        <f>VLOOKUP(C114,'MASTER AKUN'!$A$8:$C153,2,FALSE)</f>
        <v>PIUTANG LAIN-LAIN</v>
      </c>
      <c r="E115" s="8"/>
      <c r="F115" s="8"/>
      <c r="G115" s="8"/>
      <c r="H115" s="8"/>
      <c r="J115" s="27"/>
      <c r="K115" s="27"/>
      <c r="L115" s="115" t="s">
        <v>145</v>
      </c>
      <c r="M115" s="27"/>
      <c r="N115" s="29"/>
      <c r="O115" s="29"/>
      <c r="P115" s="29">
        <f>VLOOKUP(L110,'MASTER AKUN'!$A$8:$E$72,4,FALSE)</f>
        <v>0</v>
      </c>
      <c r="Q115" s="29">
        <f>VLOOKUP(L110,'MASTER AKUN'!$A$8:$E$72,5,FALSE)</f>
        <v>0</v>
      </c>
    </row>
    <row r="116" spans="1:17" x14ac:dyDescent="0.25">
      <c r="E116" s="8"/>
      <c r="F116" s="8"/>
      <c r="G116" s="8"/>
      <c r="H116" s="8"/>
      <c r="J116" s="45">
        <v>38748</v>
      </c>
      <c r="K116" s="16" t="s">
        <v>182</v>
      </c>
      <c r="L116" s="116" t="s">
        <v>314</v>
      </c>
      <c r="M116" s="27"/>
      <c r="N116" s="29">
        <f ca="1">SUMIF('JURNAL UMUM'!$A$106:$H$106,L110,'JURNAL UMUM'!$G$106)</f>
        <v>14500000</v>
      </c>
      <c r="O116" s="29"/>
      <c r="P116" s="29">
        <f t="shared" ref="P116" ca="1" si="9">IF(P115+N116&gt;Q115+O116,(P115+N116)-(Q115+O116),0)</f>
        <v>14500000</v>
      </c>
      <c r="Q116" s="29"/>
    </row>
    <row r="117" spans="1:17" x14ac:dyDescent="0.25">
      <c r="A117" s="160" t="s">
        <v>142</v>
      </c>
      <c r="B117" s="160" t="s">
        <v>127</v>
      </c>
      <c r="C117" s="169" t="s">
        <v>143</v>
      </c>
      <c r="D117" s="160" t="s">
        <v>128</v>
      </c>
      <c r="E117" s="162" t="s">
        <v>129</v>
      </c>
      <c r="F117" s="162" t="s">
        <v>130</v>
      </c>
      <c r="G117" s="160" t="s">
        <v>144</v>
      </c>
      <c r="H117" s="160"/>
      <c r="J117" s="27"/>
      <c r="K117" s="27"/>
      <c r="L117" s="116"/>
      <c r="M117" s="27"/>
      <c r="N117" s="29"/>
      <c r="O117" s="29"/>
      <c r="P117" s="29"/>
      <c r="Q117" s="29"/>
    </row>
    <row r="118" spans="1:17" x14ac:dyDescent="0.25">
      <c r="A118" s="160"/>
      <c r="B118" s="160"/>
      <c r="C118" s="169"/>
      <c r="D118" s="160"/>
      <c r="E118" s="162"/>
      <c r="F118" s="162"/>
      <c r="G118" s="12" t="s">
        <v>129</v>
      </c>
      <c r="H118" s="12" t="s">
        <v>130</v>
      </c>
      <c r="L118" s="112"/>
    </row>
    <row r="119" spans="1:17" x14ac:dyDescent="0.25">
      <c r="A119" s="27"/>
      <c r="B119" s="27"/>
      <c r="C119" s="115" t="s">
        <v>145</v>
      </c>
      <c r="D119" s="27"/>
      <c r="E119" s="29"/>
      <c r="F119" s="29"/>
      <c r="G119" s="29">
        <f>VLOOKUP(C114,'MASTER AKUN'!$A$8:$E$72,4,FALSE)</f>
        <v>0</v>
      </c>
      <c r="H119" s="29">
        <f>VLOOKUP(C114,'MASTER AKUN'!$A$8:$E$72,5,FALSE)</f>
        <v>0</v>
      </c>
      <c r="J119" s="167" t="s">
        <v>166</v>
      </c>
      <c r="K119" s="167"/>
      <c r="L119" s="112">
        <v>61002</v>
      </c>
      <c r="N119" s="8"/>
      <c r="O119" s="8"/>
      <c r="P119" s="8"/>
      <c r="Q119" s="8"/>
    </row>
    <row r="120" spans="1:17" x14ac:dyDescent="0.25">
      <c r="A120" s="27"/>
      <c r="B120" s="27"/>
      <c r="C120" s="116"/>
      <c r="D120" s="27"/>
      <c r="E120" s="29"/>
      <c r="F120" s="29"/>
      <c r="G120" s="29"/>
      <c r="H120" s="29"/>
      <c r="J120" s="167" t="s">
        <v>2</v>
      </c>
      <c r="K120" s="167"/>
      <c r="L120" s="112" t="str">
        <f>VLOOKUP(L119,'MASTER AKUN'!$A$8:$C487,2,FALSE)</f>
        <v>Beban Sewa</v>
      </c>
      <c r="N120" s="8"/>
      <c r="O120" s="8"/>
      <c r="P120" s="8"/>
      <c r="Q120" s="8"/>
    </row>
    <row r="121" spans="1:17" x14ac:dyDescent="0.25">
      <c r="A121" s="27"/>
      <c r="B121" s="27"/>
      <c r="C121" s="116"/>
      <c r="D121" s="27"/>
      <c r="E121" s="29"/>
      <c r="F121" s="29"/>
      <c r="G121" s="29"/>
      <c r="H121" s="29"/>
      <c r="L121" s="112"/>
      <c r="N121" s="8"/>
      <c r="O121" s="8"/>
      <c r="P121" s="8"/>
      <c r="Q121" s="8"/>
    </row>
    <row r="122" spans="1:17" x14ac:dyDescent="0.25">
      <c r="J122" s="160" t="s">
        <v>142</v>
      </c>
      <c r="K122" s="160" t="s">
        <v>127</v>
      </c>
      <c r="L122" s="169" t="s">
        <v>143</v>
      </c>
      <c r="M122" s="160" t="s">
        <v>128</v>
      </c>
      <c r="N122" s="162" t="s">
        <v>129</v>
      </c>
      <c r="O122" s="162" t="s">
        <v>130</v>
      </c>
      <c r="P122" s="160" t="s">
        <v>144</v>
      </c>
      <c r="Q122" s="160"/>
    </row>
    <row r="123" spans="1:17" x14ac:dyDescent="0.25">
      <c r="A123" s="167" t="s">
        <v>166</v>
      </c>
      <c r="B123" s="167"/>
      <c r="C123" s="112">
        <v>11401</v>
      </c>
      <c r="E123" s="8"/>
      <c r="F123" s="8"/>
      <c r="G123" s="8"/>
      <c r="H123" s="8"/>
      <c r="J123" s="160"/>
      <c r="K123" s="160"/>
      <c r="L123" s="169"/>
      <c r="M123" s="160"/>
      <c r="N123" s="162"/>
      <c r="O123" s="162"/>
      <c r="P123" s="12" t="s">
        <v>129</v>
      </c>
      <c r="Q123" s="12" t="s">
        <v>130</v>
      </c>
    </row>
    <row r="124" spans="1:17" x14ac:dyDescent="0.25">
      <c r="A124" s="167" t="s">
        <v>2</v>
      </c>
      <c r="B124" s="167"/>
      <c r="C124" s="112" t="str">
        <f>VLOOKUP(C123,'MASTER AKUN'!$A$8:$C162,2,FALSE)</f>
        <v>Piutang Karyawan</v>
      </c>
      <c r="E124" s="8"/>
      <c r="F124" s="8"/>
      <c r="G124" s="8"/>
      <c r="H124" s="8"/>
      <c r="J124" s="27"/>
      <c r="K124" s="27"/>
      <c r="L124" s="115" t="s">
        <v>145</v>
      </c>
      <c r="M124" s="27"/>
      <c r="N124" s="29"/>
      <c r="O124" s="29"/>
      <c r="P124" s="29">
        <f>VLOOKUP(L119,'MASTER AKUN'!$A$8:$E$72,4,FALSE)</f>
        <v>0</v>
      </c>
      <c r="Q124" s="29">
        <f>VLOOKUP(L119,'MASTER AKUN'!$A$8:$E$72,5,FALSE)</f>
        <v>0</v>
      </c>
    </row>
    <row r="125" spans="1:17" x14ac:dyDescent="0.25">
      <c r="E125" s="8"/>
      <c r="F125" s="8"/>
      <c r="G125" s="8"/>
      <c r="H125" s="8"/>
      <c r="J125" s="45">
        <v>38727</v>
      </c>
      <c r="K125" s="16" t="s">
        <v>164</v>
      </c>
      <c r="L125" s="116" t="s">
        <v>315</v>
      </c>
      <c r="M125" s="27"/>
      <c r="N125" s="29">
        <f ca="1">SUMIF('JURNAL UMUM'!$A$39:$H$39,L119,'JURNAL UMUM'!$G$39)</f>
        <v>2500000</v>
      </c>
      <c r="O125" s="29"/>
      <c r="P125" s="29">
        <f t="shared" ref="P125" ca="1" si="10">IF(P124+N125&gt;Q124+O125,(P124+N125)-(Q124+O125),0)</f>
        <v>2500000</v>
      </c>
      <c r="Q125" s="29"/>
    </row>
    <row r="126" spans="1:17" x14ac:dyDescent="0.25">
      <c r="A126" s="160" t="s">
        <v>142</v>
      </c>
      <c r="B126" s="160" t="s">
        <v>127</v>
      </c>
      <c r="C126" s="169" t="s">
        <v>143</v>
      </c>
      <c r="D126" s="160" t="s">
        <v>128</v>
      </c>
      <c r="E126" s="162" t="s">
        <v>129</v>
      </c>
      <c r="F126" s="162" t="s">
        <v>130</v>
      </c>
      <c r="G126" s="160" t="s">
        <v>144</v>
      </c>
      <c r="H126" s="160"/>
      <c r="J126" s="27"/>
      <c r="K126" s="27"/>
      <c r="L126" s="116"/>
      <c r="M126" s="27"/>
      <c r="N126" s="29"/>
      <c r="O126" s="29"/>
      <c r="P126" s="29"/>
      <c r="Q126" s="29"/>
    </row>
    <row r="127" spans="1:17" x14ac:dyDescent="0.25">
      <c r="A127" s="160"/>
      <c r="B127" s="160"/>
      <c r="C127" s="169"/>
      <c r="D127" s="160"/>
      <c r="E127" s="162"/>
      <c r="F127" s="162"/>
      <c r="G127" s="12" t="s">
        <v>129</v>
      </c>
      <c r="H127" s="12" t="s">
        <v>130</v>
      </c>
      <c r="L127" s="112"/>
    </row>
    <row r="128" spans="1:17" x14ac:dyDescent="0.25">
      <c r="A128" s="27"/>
      <c r="B128" s="27"/>
      <c r="C128" s="115" t="s">
        <v>145</v>
      </c>
      <c r="D128" s="27"/>
      <c r="E128" s="29"/>
      <c r="F128" s="29"/>
      <c r="G128" s="29">
        <f>VLOOKUP(C123,'MASTER AKUN'!$A$8:$E$72,4,FALSE)</f>
        <v>0</v>
      </c>
      <c r="H128" s="29">
        <f>VLOOKUP(C123,'MASTER AKUN'!$A$8:$E$72,5,FALSE)</f>
        <v>0</v>
      </c>
      <c r="J128" s="167" t="s">
        <v>166</v>
      </c>
      <c r="K128" s="167"/>
      <c r="L128" s="112">
        <v>61003</v>
      </c>
      <c r="N128" s="8"/>
      <c r="O128" s="8"/>
      <c r="P128" s="8"/>
      <c r="Q128" s="8"/>
    </row>
    <row r="129" spans="1:17" x14ac:dyDescent="0.25">
      <c r="A129" s="45">
        <v>38744</v>
      </c>
      <c r="B129" s="16" t="s">
        <v>176</v>
      </c>
      <c r="C129" s="116" t="s">
        <v>207</v>
      </c>
      <c r="D129" s="27"/>
      <c r="E129" s="29">
        <f ca="1">SUMIF('JURNAL UMUM'!$A$83:$H$83,'BUKU BESAR'!C123,'JURNAL UMUM'!$G$83)</f>
        <v>2500000</v>
      </c>
      <c r="F129" s="29"/>
      <c r="G129" s="29">
        <f t="shared" ref="G129" ca="1" si="11">IF(G128+E129&gt;H128+F129,(G128+E129)-(H128+F129),0)</f>
        <v>2500000</v>
      </c>
      <c r="H129" s="29"/>
      <c r="J129" s="167" t="s">
        <v>2</v>
      </c>
      <c r="K129" s="167"/>
      <c r="L129" s="112" t="str">
        <f>VLOOKUP(L128,'MASTER AKUN'!$A$8:$C496,2,FALSE)</f>
        <v>Beban Piutang Tak Tertagih</v>
      </c>
      <c r="N129" s="8"/>
      <c r="O129" s="8"/>
      <c r="P129" s="8"/>
      <c r="Q129" s="8"/>
    </row>
    <row r="130" spans="1:17" x14ac:dyDescent="0.25">
      <c r="A130" s="27"/>
      <c r="B130" s="27"/>
      <c r="C130" s="116"/>
      <c r="D130" s="27"/>
      <c r="E130" s="29"/>
      <c r="F130" s="29"/>
      <c r="G130" s="29"/>
      <c r="H130" s="29"/>
      <c r="L130" s="112"/>
      <c r="N130" s="8"/>
      <c r="O130" s="8"/>
      <c r="P130" s="8"/>
      <c r="Q130" s="8"/>
    </row>
    <row r="131" spans="1:17" x14ac:dyDescent="0.25">
      <c r="J131" s="160" t="s">
        <v>142</v>
      </c>
      <c r="K131" s="160" t="s">
        <v>127</v>
      </c>
      <c r="L131" s="169" t="s">
        <v>143</v>
      </c>
      <c r="M131" s="160" t="s">
        <v>128</v>
      </c>
      <c r="N131" s="162" t="s">
        <v>129</v>
      </c>
      <c r="O131" s="162" t="s">
        <v>130</v>
      </c>
      <c r="P131" s="160" t="s">
        <v>144</v>
      </c>
      <c r="Q131" s="160"/>
    </row>
    <row r="132" spans="1:17" x14ac:dyDescent="0.25">
      <c r="A132" s="167" t="s">
        <v>166</v>
      </c>
      <c r="B132" s="167"/>
      <c r="C132" s="112">
        <v>11500</v>
      </c>
      <c r="E132" s="8"/>
      <c r="F132" s="8"/>
      <c r="G132" s="8"/>
      <c r="H132" s="8"/>
      <c r="J132" s="160"/>
      <c r="K132" s="160"/>
      <c r="L132" s="169"/>
      <c r="M132" s="160"/>
      <c r="N132" s="162"/>
      <c r="O132" s="162"/>
      <c r="P132" s="12" t="s">
        <v>129</v>
      </c>
      <c r="Q132" s="12" t="s">
        <v>130</v>
      </c>
    </row>
    <row r="133" spans="1:17" x14ac:dyDescent="0.25">
      <c r="A133" s="167" t="s">
        <v>2</v>
      </c>
      <c r="B133" s="167"/>
      <c r="C133" s="112" t="str">
        <f>VLOOKUP(C132,'MASTER AKUN'!$A$8:$C171,2,FALSE)</f>
        <v>PERSEDIAAN BARANG DAGANGAN</v>
      </c>
      <c r="E133" s="8"/>
      <c r="F133" s="8"/>
      <c r="G133" s="8"/>
      <c r="H133" s="8"/>
      <c r="J133" s="27"/>
      <c r="K133" s="27"/>
      <c r="L133" s="115" t="s">
        <v>145</v>
      </c>
      <c r="M133" s="27"/>
      <c r="N133" s="29"/>
      <c r="O133" s="29"/>
      <c r="P133" s="29">
        <f>VLOOKUP(L128,'MASTER AKUN'!$A$8:$E$72,4,FALSE)</f>
        <v>0</v>
      </c>
      <c r="Q133" s="29">
        <f>VLOOKUP(L128,'MASTER AKUN'!$A$8:$E$72,5,FALSE)</f>
        <v>0</v>
      </c>
    </row>
    <row r="134" spans="1:17" x14ac:dyDescent="0.25">
      <c r="E134" s="8"/>
      <c r="F134" s="8"/>
      <c r="G134" s="8"/>
      <c r="H134" s="8"/>
      <c r="J134" s="45">
        <v>38748</v>
      </c>
      <c r="K134" s="16" t="s">
        <v>185</v>
      </c>
      <c r="L134" s="116" t="s">
        <v>316</v>
      </c>
      <c r="M134" s="27"/>
      <c r="N134" s="29">
        <f ca="1">SUMIF('JURNAL UMUM'!$A$115:$H$115,L128,'JURNAL UMUM'!$G$115)</f>
        <v>2901750</v>
      </c>
      <c r="O134" s="29"/>
      <c r="P134" s="29">
        <f t="shared" ref="P134" ca="1" si="12">IF(P133+N134&gt;Q133+O134,(P133+N134)-(Q133+O134),0)</f>
        <v>2901750</v>
      </c>
      <c r="Q134" s="29"/>
    </row>
    <row r="135" spans="1:17" x14ac:dyDescent="0.25">
      <c r="A135" s="160" t="s">
        <v>142</v>
      </c>
      <c r="B135" s="160" t="s">
        <v>127</v>
      </c>
      <c r="C135" s="169" t="s">
        <v>143</v>
      </c>
      <c r="D135" s="160" t="s">
        <v>128</v>
      </c>
      <c r="E135" s="162" t="s">
        <v>129</v>
      </c>
      <c r="F135" s="162" t="s">
        <v>130</v>
      </c>
      <c r="G135" s="160" t="s">
        <v>144</v>
      </c>
      <c r="H135" s="160"/>
      <c r="J135" s="27"/>
      <c r="K135" s="27"/>
      <c r="L135" s="116"/>
      <c r="M135" s="27"/>
      <c r="N135" s="29"/>
      <c r="O135" s="29"/>
      <c r="P135" s="29"/>
      <c r="Q135" s="29"/>
    </row>
    <row r="136" spans="1:17" x14ac:dyDescent="0.25">
      <c r="A136" s="160"/>
      <c r="B136" s="160"/>
      <c r="C136" s="169"/>
      <c r="D136" s="160"/>
      <c r="E136" s="162"/>
      <c r="F136" s="162"/>
      <c r="G136" s="12" t="s">
        <v>129</v>
      </c>
      <c r="H136" s="12" t="s">
        <v>130</v>
      </c>
      <c r="L136" s="112"/>
    </row>
    <row r="137" spans="1:17" x14ac:dyDescent="0.25">
      <c r="A137" s="27"/>
      <c r="B137" s="27"/>
      <c r="C137" s="115" t="s">
        <v>145</v>
      </c>
      <c r="D137" s="27"/>
      <c r="E137" s="29"/>
      <c r="F137" s="29"/>
      <c r="G137" s="29">
        <f>VLOOKUP(C132,'MASTER AKUN'!$A$8:$E$72,4,FALSE)</f>
        <v>166380000</v>
      </c>
      <c r="H137" s="29">
        <f>VLOOKUP(C132,'MASTER AKUN'!$A$8:$E$72,5,FALSE)</f>
        <v>0</v>
      </c>
      <c r="J137" s="167" t="s">
        <v>166</v>
      </c>
      <c r="K137" s="167"/>
      <c r="L137" s="112">
        <v>61004</v>
      </c>
      <c r="N137" s="8"/>
      <c r="O137" s="8"/>
      <c r="P137" s="8"/>
      <c r="Q137" s="8"/>
    </row>
    <row r="138" spans="1:17" x14ac:dyDescent="0.25">
      <c r="A138" s="45">
        <v>38720</v>
      </c>
      <c r="B138" s="16" t="s">
        <v>157</v>
      </c>
      <c r="C138" s="120" t="s">
        <v>293</v>
      </c>
      <c r="D138" s="27"/>
      <c r="E138" s="29"/>
      <c r="F138" s="29">
        <f ca="1">SUMIF('JURNAL UMUM'!$A$18:H$18,'BUKU BESAR'!C132,'JURNAL UMUM'!$H$18:$H$18)</f>
        <v>9600000</v>
      </c>
      <c r="G138" s="29">
        <f t="shared" ref="G138:G155" ca="1" si="13">IF(G137+E138&gt;H137+F138,(G137+E138)-(H137+F138),0)</f>
        <v>156780000</v>
      </c>
      <c r="H138" s="29"/>
      <c r="J138" s="167" t="s">
        <v>2</v>
      </c>
      <c r="K138" s="167"/>
      <c r="L138" s="112" t="str">
        <f>VLOOKUP(L137,'MASTER AKUN'!$A$8:$C505,2,FALSE)</f>
        <v>Beban Listrik</v>
      </c>
      <c r="N138" s="8"/>
      <c r="O138" s="8"/>
      <c r="P138" s="8"/>
      <c r="Q138" s="8"/>
    </row>
    <row r="139" spans="1:17" x14ac:dyDescent="0.25">
      <c r="A139" s="27"/>
      <c r="B139" s="27"/>
      <c r="C139" s="120" t="s">
        <v>293</v>
      </c>
      <c r="D139" s="27"/>
      <c r="E139" s="29"/>
      <c r="F139" s="29">
        <f ca="1">SUMIF('JURNAL UMUM'!$A$19:H$19,'BUKU BESAR'!C132,'JURNAL UMUM'!$H$19:$H$19)</f>
        <v>9750000</v>
      </c>
      <c r="G139" s="29">
        <f t="shared" ca="1" si="13"/>
        <v>147030000</v>
      </c>
      <c r="H139" s="29"/>
      <c r="L139" s="112"/>
      <c r="N139" s="8"/>
      <c r="O139" s="8"/>
      <c r="P139" s="8"/>
      <c r="Q139" s="8"/>
    </row>
    <row r="140" spans="1:17" x14ac:dyDescent="0.25">
      <c r="A140" s="45">
        <v>38721</v>
      </c>
      <c r="B140" s="16" t="s">
        <v>159</v>
      </c>
      <c r="C140" s="120" t="s">
        <v>294</v>
      </c>
      <c r="D140" s="27"/>
      <c r="E140" s="29">
        <f ca="1">SUMIF('JURNAL UMUM'!$A$23:$H$23,'BUKU BESAR'!C132,'JURNAL UMUM'!$G$23)</f>
        <v>12000000</v>
      </c>
      <c r="F140" s="29"/>
      <c r="G140" s="29">
        <f t="shared" ca="1" si="13"/>
        <v>159030000</v>
      </c>
      <c r="H140" s="29"/>
      <c r="J140" s="160" t="s">
        <v>142</v>
      </c>
      <c r="K140" s="160" t="s">
        <v>127</v>
      </c>
      <c r="L140" s="169" t="s">
        <v>143</v>
      </c>
      <c r="M140" s="160" t="s">
        <v>128</v>
      </c>
      <c r="N140" s="162" t="s">
        <v>129</v>
      </c>
      <c r="O140" s="162" t="s">
        <v>130</v>
      </c>
      <c r="P140" s="160" t="s">
        <v>144</v>
      </c>
      <c r="Q140" s="160"/>
    </row>
    <row r="141" spans="1:17" x14ac:dyDescent="0.25">
      <c r="A141" s="27"/>
      <c r="B141" s="27"/>
      <c r="C141" s="120" t="s">
        <v>294</v>
      </c>
      <c r="D141" s="27"/>
      <c r="E141" s="29">
        <f ca="1">SUMIF('JURNAL UMUM'!$A$24:$H$24,'BUKU BESAR'!C133,'JURNAL UMUM'!$G$24)</f>
        <v>9750000</v>
      </c>
      <c r="F141" s="29"/>
      <c r="G141" s="29">
        <f t="shared" ca="1" si="13"/>
        <v>168780000</v>
      </c>
      <c r="H141" s="29"/>
      <c r="J141" s="160"/>
      <c r="K141" s="160"/>
      <c r="L141" s="169"/>
      <c r="M141" s="160"/>
      <c r="N141" s="162"/>
      <c r="O141" s="162"/>
      <c r="P141" s="12" t="s">
        <v>129</v>
      </c>
      <c r="Q141" s="12" t="s">
        <v>130</v>
      </c>
    </row>
    <row r="142" spans="1:17" x14ac:dyDescent="0.25">
      <c r="A142" s="45">
        <v>38723</v>
      </c>
      <c r="B142" s="16" t="s">
        <v>160</v>
      </c>
      <c r="C142" s="120" t="s">
        <v>293</v>
      </c>
      <c r="D142" s="27"/>
      <c r="E142" s="29"/>
      <c r="F142" s="29">
        <f ca="1">SUMIF('JURNAL UMUM'!$A$30:H$30,'BUKU BESAR'!C132,'JURNAL UMUM'!$H$30:$H$30)</f>
        <v>325000</v>
      </c>
      <c r="G142" s="29">
        <f t="shared" ca="1" si="13"/>
        <v>168455000</v>
      </c>
      <c r="H142" s="29"/>
      <c r="J142" s="27"/>
      <c r="K142" s="27"/>
      <c r="L142" s="115" t="s">
        <v>145</v>
      </c>
      <c r="M142" s="27"/>
      <c r="N142" s="29"/>
      <c r="O142" s="29"/>
      <c r="P142" s="29">
        <f>VLOOKUP(L137,'MASTER AKUN'!$A$8:$E$72,4,FALSE)</f>
        <v>0</v>
      </c>
      <c r="Q142" s="29">
        <f>VLOOKUP(L137,'MASTER AKUN'!$A$8:$E$72,5,FALSE)</f>
        <v>0</v>
      </c>
    </row>
    <row r="143" spans="1:17" x14ac:dyDescent="0.25">
      <c r="A143" s="45">
        <v>38728</v>
      </c>
      <c r="B143" s="16" t="s">
        <v>168</v>
      </c>
      <c r="C143" s="120" t="s">
        <v>294</v>
      </c>
      <c r="D143" s="27"/>
      <c r="E143" s="29">
        <f ca="1">SUMIF('JURNAL UMUM'!$A$46:$H$46,'BUKU BESAR'!C132,'JURNAL UMUM'!$G$46)</f>
        <v>325000</v>
      </c>
      <c r="F143" s="29"/>
      <c r="G143" s="29">
        <f t="shared" ca="1" si="13"/>
        <v>168780000</v>
      </c>
      <c r="H143" s="29"/>
      <c r="J143" s="45">
        <v>38735</v>
      </c>
      <c r="K143" s="16" t="s">
        <v>170</v>
      </c>
      <c r="L143" s="116" t="s">
        <v>317</v>
      </c>
      <c r="M143" s="27"/>
      <c r="N143" s="29">
        <f ca="1">SUMIF('JURNAL UMUM'!$A$50:$H$50,L137,'JURNAL UMUM'!$G$50)</f>
        <v>175000</v>
      </c>
      <c r="O143" s="29"/>
      <c r="P143" s="29">
        <f t="shared" ref="P143" ca="1" si="14">IF(P142+N143&gt;Q142+O143,(P142+N143)-(Q142+O143),0)</f>
        <v>175000</v>
      </c>
      <c r="Q143" s="29"/>
    </row>
    <row r="144" spans="1:17" x14ac:dyDescent="0.25">
      <c r="A144" s="45">
        <v>38739</v>
      </c>
      <c r="B144" s="16" t="s">
        <v>172</v>
      </c>
      <c r="C144" s="120" t="s">
        <v>293</v>
      </c>
      <c r="D144" s="27"/>
      <c r="E144" s="29"/>
      <c r="F144" s="29">
        <f ca="1">SUMIF('JURNAL UMUM'!$A$59:H$59,'BUKU BESAR'!C132,'JURNAL UMUM'!$H$59:$H$59)</f>
        <v>7000000</v>
      </c>
      <c r="G144" s="29">
        <f t="shared" ca="1" si="13"/>
        <v>161780000</v>
      </c>
      <c r="H144" s="29"/>
      <c r="J144" s="27"/>
      <c r="K144" s="27"/>
      <c r="L144" s="116"/>
      <c r="M144" s="27"/>
      <c r="N144" s="29"/>
      <c r="O144" s="29"/>
      <c r="P144" s="29"/>
      <c r="Q144" s="29"/>
    </row>
    <row r="145" spans="1:17" x14ac:dyDescent="0.25">
      <c r="A145" s="27"/>
      <c r="B145" s="27"/>
      <c r="C145" s="120" t="s">
        <v>293</v>
      </c>
      <c r="D145" s="27"/>
      <c r="E145" s="29"/>
      <c r="F145" s="29">
        <f ca="1">SUMIF('JURNAL UMUM'!$A$60:H$60,'BUKU BESAR'!C132,'JURNAL UMUM'!$H$60:$H$60)</f>
        <v>11400000</v>
      </c>
      <c r="G145" s="29">
        <f t="shared" ca="1" si="13"/>
        <v>150380000</v>
      </c>
      <c r="H145" s="29"/>
      <c r="L145" s="112"/>
    </row>
    <row r="146" spans="1:17" x14ac:dyDescent="0.25">
      <c r="A146" s="27"/>
      <c r="B146" s="27"/>
      <c r="C146" s="120" t="s">
        <v>293</v>
      </c>
      <c r="D146" s="27"/>
      <c r="E146" s="29"/>
      <c r="F146" s="29">
        <f ca="1">SUMIF('JURNAL UMUM'!$A$61:H$61,'BUKU BESAR'!C132,'JURNAL UMUM'!$H$61:$H$61)</f>
        <v>3540000</v>
      </c>
      <c r="G146" s="29">
        <f t="shared" ca="1" si="13"/>
        <v>146840000</v>
      </c>
      <c r="H146" s="29"/>
      <c r="J146" s="167" t="s">
        <v>166</v>
      </c>
      <c r="K146" s="167"/>
      <c r="L146" s="112">
        <v>61005</v>
      </c>
      <c r="N146" s="8"/>
      <c r="O146" s="8"/>
      <c r="P146" s="8"/>
      <c r="Q146" s="8"/>
    </row>
    <row r="147" spans="1:17" x14ac:dyDescent="0.25">
      <c r="A147" s="45">
        <v>38740</v>
      </c>
      <c r="B147" s="16" t="s">
        <v>173</v>
      </c>
      <c r="C147" s="116" t="s">
        <v>293</v>
      </c>
      <c r="D147" s="27"/>
      <c r="E147" s="29"/>
      <c r="F147" s="29">
        <f ca="1">SUMIF('JURNAL UMUM'!$A$67:H$67,'BUKU BESAR'!C132,'JURNAL UMUM'!$H$67:$H$67)</f>
        <v>7800000</v>
      </c>
      <c r="G147" s="29">
        <f t="shared" ca="1" si="13"/>
        <v>139040000</v>
      </c>
      <c r="H147" s="29"/>
      <c r="J147" s="167" t="s">
        <v>2</v>
      </c>
      <c r="K147" s="167"/>
      <c r="L147" s="112" t="str">
        <f>VLOOKUP(L146,'MASTER AKUN'!$A$8:$C514,2,FALSE)</f>
        <v>Beban Telepon</v>
      </c>
      <c r="N147" s="8"/>
      <c r="O147" s="8"/>
      <c r="P147" s="8"/>
      <c r="Q147" s="8"/>
    </row>
    <row r="148" spans="1:17" x14ac:dyDescent="0.25">
      <c r="A148" s="27"/>
      <c r="B148" s="27"/>
      <c r="C148" s="116" t="s">
        <v>293</v>
      </c>
      <c r="D148" s="27"/>
      <c r="E148" s="29"/>
      <c r="F148" s="29">
        <f ca="1">SUMIF('JURNAL UMUM'!$A$68:H$68,'BUKU BESAR'!C132,'JURNAL UMUM'!$H$68:$H$68)</f>
        <v>14000000</v>
      </c>
      <c r="G148" s="29">
        <f t="shared" ca="1" si="13"/>
        <v>125040000</v>
      </c>
      <c r="H148" s="29"/>
      <c r="L148" s="112"/>
      <c r="N148" s="8"/>
      <c r="O148" s="8"/>
      <c r="P148" s="8"/>
      <c r="Q148" s="8"/>
    </row>
    <row r="149" spans="1:17" x14ac:dyDescent="0.25">
      <c r="A149" s="27"/>
      <c r="B149" s="27"/>
      <c r="C149" s="116" t="s">
        <v>293</v>
      </c>
      <c r="D149" s="27"/>
      <c r="E149" s="29"/>
      <c r="F149" s="29">
        <f ca="1">SUMIF('JURNAL UMUM'!$A$69:H$69,'BUKU BESAR'!C132,'JURNAL UMUM'!$H$69:$H$69)</f>
        <v>7350000</v>
      </c>
      <c r="G149" s="29">
        <f t="shared" ca="1" si="13"/>
        <v>117690000</v>
      </c>
      <c r="H149" s="29"/>
      <c r="J149" s="160" t="s">
        <v>142</v>
      </c>
      <c r="K149" s="160" t="s">
        <v>127</v>
      </c>
      <c r="L149" s="169" t="s">
        <v>143</v>
      </c>
      <c r="M149" s="160" t="s">
        <v>128</v>
      </c>
      <c r="N149" s="162" t="s">
        <v>129</v>
      </c>
      <c r="O149" s="162" t="s">
        <v>130</v>
      </c>
      <c r="P149" s="160" t="s">
        <v>144</v>
      </c>
      <c r="Q149" s="160"/>
    </row>
    <row r="150" spans="1:17" x14ac:dyDescent="0.25">
      <c r="A150" s="45">
        <v>38741</v>
      </c>
      <c r="B150" s="16" t="s">
        <v>174</v>
      </c>
      <c r="C150" s="116" t="s">
        <v>294</v>
      </c>
      <c r="D150" s="27"/>
      <c r="E150" s="29">
        <f ca="1">SUMIF('JURNAL UMUM'!$A$73:$H$73,'BUKU BESAR'!C132,'JURNAL UMUM'!$G$73)</f>
        <v>1400000</v>
      </c>
      <c r="F150" s="29"/>
      <c r="G150" s="29">
        <f t="shared" ca="1" si="13"/>
        <v>119090000</v>
      </c>
      <c r="H150" s="29"/>
      <c r="J150" s="160"/>
      <c r="K150" s="160"/>
      <c r="L150" s="169"/>
      <c r="M150" s="160"/>
      <c r="N150" s="162"/>
      <c r="O150" s="162"/>
      <c r="P150" s="12" t="s">
        <v>129</v>
      </c>
      <c r="Q150" s="12" t="s">
        <v>130</v>
      </c>
    </row>
    <row r="151" spans="1:17" x14ac:dyDescent="0.25">
      <c r="A151" s="45">
        <v>38743</v>
      </c>
      <c r="B151" s="16" t="s">
        <v>175</v>
      </c>
      <c r="C151" s="116" t="s">
        <v>293</v>
      </c>
      <c r="D151" s="27"/>
      <c r="E151" s="29"/>
      <c r="F151" s="29">
        <f ca="1">SUMIF('JURNAL UMUM'!$A$80:H$80,'BUKU BESAR'!C132,'JURNAL UMUM'!$H$80:$H$80)</f>
        <v>11200000</v>
      </c>
      <c r="G151" s="29">
        <f t="shared" ca="1" si="13"/>
        <v>107890000</v>
      </c>
      <c r="H151" s="29"/>
      <c r="J151" s="27"/>
      <c r="K151" s="27"/>
      <c r="L151" s="115" t="s">
        <v>145</v>
      </c>
      <c r="M151" s="27"/>
      <c r="N151" s="29"/>
      <c r="O151" s="29"/>
      <c r="P151" s="29">
        <f>VLOOKUP(L146,'MASTER AKUN'!$A$8:$E$72,4,FALSE)</f>
        <v>0</v>
      </c>
      <c r="Q151" s="29">
        <f>VLOOKUP(L146,'MASTER AKUN'!$A$8:$E$72,5,FALSE)</f>
        <v>0</v>
      </c>
    </row>
    <row r="152" spans="1:17" x14ac:dyDescent="0.25">
      <c r="A152" s="27"/>
      <c r="B152" s="27"/>
      <c r="C152" s="116" t="s">
        <v>293</v>
      </c>
      <c r="D152" s="27"/>
      <c r="E152" s="29"/>
      <c r="F152" s="29">
        <f ca="1">SUMIF('JURNAL UMUM'!$A$81:H$81,'BUKU BESAR'!C132,'JURNAL UMUM'!$H$81:$H$81)</f>
        <v>7800000</v>
      </c>
      <c r="G152" s="29">
        <f t="shared" ca="1" si="13"/>
        <v>100090000</v>
      </c>
      <c r="H152" s="29"/>
      <c r="J152" s="45">
        <v>38735</v>
      </c>
      <c r="K152" s="16" t="s">
        <v>170</v>
      </c>
      <c r="L152" s="116" t="s">
        <v>318</v>
      </c>
      <c r="M152" s="27"/>
      <c r="N152" s="29">
        <f ca="1">SUMIF('JURNAL UMUM'!$A$51:$H$51,L146,'JURNAL UMUM'!$G$51)</f>
        <v>212500</v>
      </c>
      <c r="O152" s="29"/>
      <c r="P152" s="29">
        <f t="shared" ref="P152" ca="1" si="15">IF(P151+N152&gt;Q151+O152,(P151+N152)-(Q151+O152),0)</f>
        <v>212500</v>
      </c>
      <c r="Q152" s="29"/>
    </row>
    <row r="153" spans="1:17" x14ac:dyDescent="0.25">
      <c r="A153" s="27"/>
      <c r="B153" s="27"/>
      <c r="C153" s="116" t="s">
        <v>293</v>
      </c>
      <c r="D153" s="27"/>
      <c r="E153" s="29"/>
      <c r="F153" s="29">
        <f ca="1">SUMIF('JURNAL UMUM'!$A$82:H$82,'BUKU BESAR'!C132,'JURNAL UMUM'!$H$82:$H$82)</f>
        <v>5250000</v>
      </c>
      <c r="G153" s="29">
        <f t="shared" ca="1" si="13"/>
        <v>94840000</v>
      </c>
      <c r="H153" s="29"/>
      <c r="J153" s="27"/>
      <c r="K153" s="27"/>
      <c r="L153" s="116"/>
      <c r="M153" s="27"/>
      <c r="N153" s="29"/>
      <c r="O153" s="29"/>
      <c r="P153" s="29"/>
      <c r="Q153" s="29"/>
    </row>
    <row r="154" spans="1:17" x14ac:dyDescent="0.25">
      <c r="A154" s="45">
        <v>38746</v>
      </c>
      <c r="B154" s="16" t="s">
        <v>180</v>
      </c>
      <c r="C154" s="116" t="s">
        <v>293</v>
      </c>
      <c r="D154" s="27"/>
      <c r="E154" s="29"/>
      <c r="F154" s="29">
        <f ca="1">SUMIF('JURNAL UMUM'!$A$102:H$102,'BUKU BESAR'!C132,'JURNAL UMUM'!$H$102:$H$102)</f>
        <v>12000000</v>
      </c>
      <c r="G154" s="29">
        <f t="shared" ca="1" si="13"/>
        <v>82840000</v>
      </c>
      <c r="H154" s="29"/>
      <c r="L154" s="112"/>
    </row>
    <row r="155" spans="1:17" x14ac:dyDescent="0.25">
      <c r="A155" s="27"/>
      <c r="B155" s="27"/>
      <c r="C155" s="116" t="s">
        <v>293</v>
      </c>
      <c r="D155" s="27"/>
      <c r="E155" s="29"/>
      <c r="F155" s="29">
        <f ca="1">SUMIF('JURNAL UMUM'!$A$103:H$103,'BUKU BESAR'!C132,'JURNAL UMUM'!$H$103:$H$103)</f>
        <v>11375000</v>
      </c>
      <c r="G155" s="29">
        <f t="shared" ca="1" si="13"/>
        <v>71465000</v>
      </c>
      <c r="H155" s="29"/>
      <c r="J155" s="167" t="s">
        <v>166</v>
      </c>
      <c r="K155" s="167"/>
      <c r="L155" s="112">
        <v>61006</v>
      </c>
      <c r="N155" s="8"/>
      <c r="O155" s="8"/>
      <c r="P155" s="8"/>
      <c r="Q155" s="8"/>
    </row>
    <row r="156" spans="1:17" x14ac:dyDescent="0.25">
      <c r="J156" s="167" t="s">
        <v>2</v>
      </c>
      <c r="K156" s="167"/>
      <c r="L156" s="112" t="str">
        <f>VLOOKUP(L155,'MASTER AKUN'!$A$8:$C523,2,FALSE)</f>
        <v>Beban Penyusutan Peralatan Kantor</v>
      </c>
      <c r="N156" s="8"/>
      <c r="O156" s="8"/>
      <c r="P156" s="8"/>
      <c r="Q156" s="8"/>
    </row>
    <row r="157" spans="1:17" x14ac:dyDescent="0.25">
      <c r="A157" s="167" t="s">
        <v>166</v>
      </c>
      <c r="B157" s="167"/>
      <c r="C157" s="112">
        <v>11600</v>
      </c>
      <c r="E157" s="8"/>
      <c r="F157" s="8"/>
      <c r="G157" s="8"/>
      <c r="H157" s="8"/>
      <c r="L157" s="112"/>
      <c r="N157" s="8"/>
      <c r="O157" s="8"/>
      <c r="P157" s="8"/>
      <c r="Q157" s="8"/>
    </row>
    <row r="158" spans="1:17" x14ac:dyDescent="0.25">
      <c r="A158" s="167" t="s">
        <v>2</v>
      </c>
      <c r="B158" s="167"/>
      <c r="C158" s="112" t="str">
        <f>VLOOKUP(C157,'MASTER AKUN'!$A$8:$C180,2,FALSE)</f>
        <v>PEMBAYARAN DI MUKA</v>
      </c>
      <c r="E158" s="8"/>
      <c r="F158" s="8"/>
      <c r="G158" s="8"/>
      <c r="H158" s="8"/>
      <c r="J158" s="160" t="s">
        <v>142</v>
      </c>
      <c r="K158" s="160" t="s">
        <v>127</v>
      </c>
      <c r="L158" s="169" t="s">
        <v>143</v>
      </c>
      <c r="M158" s="160" t="s">
        <v>128</v>
      </c>
      <c r="N158" s="162" t="s">
        <v>129</v>
      </c>
      <c r="O158" s="162" t="s">
        <v>130</v>
      </c>
      <c r="P158" s="160" t="s">
        <v>144</v>
      </c>
      <c r="Q158" s="160"/>
    </row>
    <row r="159" spans="1:17" x14ac:dyDescent="0.25">
      <c r="E159" s="8"/>
      <c r="F159" s="8"/>
      <c r="G159" s="8"/>
      <c r="H159" s="8"/>
      <c r="J159" s="160"/>
      <c r="K159" s="160"/>
      <c r="L159" s="169"/>
      <c r="M159" s="160"/>
      <c r="N159" s="162"/>
      <c r="O159" s="162"/>
      <c r="P159" s="12" t="s">
        <v>129</v>
      </c>
      <c r="Q159" s="12" t="s">
        <v>130</v>
      </c>
    </row>
    <row r="160" spans="1:17" x14ac:dyDescent="0.25">
      <c r="A160" s="160" t="s">
        <v>142</v>
      </c>
      <c r="B160" s="160" t="s">
        <v>127</v>
      </c>
      <c r="C160" s="169" t="s">
        <v>143</v>
      </c>
      <c r="D160" s="160" t="s">
        <v>128</v>
      </c>
      <c r="E160" s="162" t="s">
        <v>129</v>
      </c>
      <c r="F160" s="162" t="s">
        <v>130</v>
      </c>
      <c r="G160" s="160" t="s">
        <v>144</v>
      </c>
      <c r="H160" s="160"/>
      <c r="J160" s="27"/>
      <c r="K160" s="27"/>
      <c r="L160" s="115" t="s">
        <v>145</v>
      </c>
      <c r="M160" s="27"/>
      <c r="N160" s="29"/>
      <c r="O160" s="29"/>
      <c r="P160" s="29">
        <f>VLOOKUP(L155,'MASTER AKUN'!$A$8:$E$72,4,FALSE)</f>
        <v>0</v>
      </c>
      <c r="Q160" s="29">
        <f>VLOOKUP(L155,'MASTER AKUN'!$A$8:$E$72,5,FALSE)</f>
        <v>0</v>
      </c>
    </row>
    <row r="161" spans="1:17" x14ac:dyDescent="0.25">
      <c r="A161" s="160"/>
      <c r="B161" s="160"/>
      <c r="C161" s="169"/>
      <c r="D161" s="160"/>
      <c r="E161" s="162"/>
      <c r="F161" s="162"/>
      <c r="G161" s="12" t="s">
        <v>129</v>
      </c>
      <c r="H161" s="12" t="s">
        <v>130</v>
      </c>
      <c r="J161" s="45">
        <v>38748</v>
      </c>
      <c r="K161" s="16" t="s">
        <v>183</v>
      </c>
      <c r="L161" s="116" t="s">
        <v>319</v>
      </c>
      <c r="M161" s="27"/>
      <c r="N161" s="29">
        <f ca="1">SUMIF('JURNAL UMUM'!$A$109:$H$109,L155,'JURNAL UMUM'!$G$109)</f>
        <v>400000</v>
      </c>
      <c r="O161" s="29"/>
      <c r="P161" s="29">
        <f t="shared" ref="P161" ca="1" si="16">IF(P160+N161&gt;Q160+O161,(P160+N161)-(Q160+O161),0)</f>
        <v>400000</v>
      </c>
      <c r="Q161" s="29"/>
    </row>
    <row r="162" spans="1:17" x14ac:dyDescent="0.25">
      <c r="A162" s="27"/>
      <c r="B162" s="27"/>
      <c r="C162" s="115" t="s">
        <v>145</v>
      </c>
      <c r="D162" s="27"/>
      <c r="E162" s="29"/>
      <c r="F162" s="29"/>
      <c r="G162" s="29">
        <f>VLOOKUP(C157,'MASTER AKUN'!$A$8:$E$72,4,FALSE)</f>
        <v>0</v>
      </c>
      <c r="H162" s="29">
        <f>VLOOKUP(C157,'MASTER AKUN'!$A$8:$E$72,5,FALSE)</f>
        <v>0</v>
      </c>
      <c r="J162" s="27"/>
      <c r="K162" s="27"/>
      <c r="L162" s="116"/>
      <c r="M162" s="27"/>
      <c r="N162" s="29"/>
      <c r="O162" s="29"/>
      <c r="P162" s="29"/>
      <c r="Q162" s="29"/>
    </row>
    <row r="163" spans="1:17" x14ac:dyDescent="0.25">
      <c r="A163" s="27"/>
      <c r="B163" s="27"/>
      <c r="C163" s="116"/>
      <c r="D163" s="27"/>
      <c r="E163" s="29"/>
      <c r="F163" s="29"/>
      <c r="G163" s="29">
        <f>G162+E163-F163</f>
        <v>0</v>
      </c>
      <c r="H163" s="29"/>
      <c r="L163" s="112"/>
    </row>
    <row r="164" spans="1:17" x14ac:dyDescent="0.25">
      <c r="A164" s="27"/>
      <c r="B164" s="27"/>
      <c r="C164" s="116"/>
      <c r="D164" s="27"/>
      <c r="E164" s="29"/>
      <c r="F164" s="29"/>
      <c r="G164" s="29"/>
      <c r="H164" s="29"/>
      <c r="J164" s="167" t="s">
        <v>166</v>
      </c>
      <c r="K164" s="167"/>
      <c r="L164" s="112">
        <v>61007</v>
      </c>
      <c r="N164" s="8"/>
      <c r="O164" s="8"/>
      <c r="P164" s="8"/>
      <c r="Q164" s="8"/>
    </row>
    <row r="165" spans="1:17" x14ac:dyDescent="0.25">
      <c r="J165" s="167" t="s">
        <v>2</v>
      </c>
      <c r="K165" s="167"/>
      <c r="L165" s="112" t="str">
        <f>VLOOKUP(L164,'MASTER AKUN'!$A$8:$C532,2,FALSE)</f>
        <v>Beban Penyusutan Kendaraan</v>
      </c>
      <c r="N165" s="8"/>
      <c r="O165" s="8"/>
      <c r="P165" s="8"/>
      <c r="Q165" s="8"/>
    </row>
    <row r="166" spans="1:17" x14ac:dyDescent="0.25">
      <c r="A166" s="167" t="s">
        <v>166</v>
      </c>
      <c r="B166" s="167"/>
      <c r="C166" s="112">
        <v>11601</v>
      </c>
      <c r="E166" s="8"/>
      <c r="F166" s="8"/>
      <c r="G166" s="8"/>
      <c r="H166" s="8"/>
      <c r="L166" s="112"/>
      <c r="N166" s="8"/>
      <c r="O166" s="8"/>
      <c r="P166" s="8"/>
      <c r="Q166" s="8"/>
    </row>
    <row r="167" spans="1:17" x14ac:dyDescent="0.25">
      <c r="A167" s="167" t="s">
        <v>2</v>
      </c>
      <c r="B167" s="167"/>
      <c r="C167" s="112" t="str">
        <f>VLOOKUP(C166,'MASTER AKUN'!$A$8:$C189,2,FALSE)</f>
        <v>PPN Masukan</v>
      </c>
      <c r="E167" s="8"/>
      <c r="F167" s="8"/>
      <c r="G167" s="8"/>
      <c r="H167" s="8"/>
      <c r="J167" s="160" t="s">
        <v>142</v>
      </c>
      <c r="K167" s="160" t="s">
        <v>127</v>
      </c>
      <c r="L167" s="169" t="s">
        <v>143</v>
      </c>
      <c r="M167" s="160" t="s">
        <v>128</v>
      </c>
      <c r="N167" s="162" t="s">
        <v>129</v>
      </c>
      <c r="O167" s="162" t="s">
        <v>130</v>
      </c>
      <c r="P167" s="160" t="s">
        <v>144</v>
      </c>
      <c r="Q167" s="160"/>
    </row>
    <row r="168" spans="1:17" x14ac:dyDescent="0.25">
      <c r="E168" s="8"/>
      <c r="F168" s="8"/>
      <c r="G168" s="8"/>
      <c r="H168" s="8"/>
      <c r="J168" s="160"/>
      <c r="K168" s="160"/>
      <c r="L168" s="169"/>
      <c r="M168" s="160"/>
      <c r="N168" s="162"/>
      <c r="O168" s="162"/>
      <c r="P168" s="12" t="s">
        <v>129</v>
      </c>
      <c r="Q168" s="12" t="s">
        <v>130</v>
      </c>
    </row>
    <row r="169" spans="1:17" x14ac:dyDescent="0.25">
      <c r="A169" s="160" t="s">
        <v>142</v>
      </c>
      <c r="B169" s="160" t="s">
        <v>127</v>
      </c>
      <c r="C169" s="169" t="s">
        <v>143</v>
      </c>
      <c r="D169" s="160" t="s">
        <v>128</v>
      </c>
      <c r="E169" s="162" t="s">
        <v>129</v>
      </c>
      <c r="F169" s="162" t="s">
        <v>130</v>
      </c>
      <c r="G169" s="160" t="s">
        <v>144</v>
      </c>
      <c r="H169" s="160"/>
      <c r="J169" s="27"/>
      <c r="K169" s="27"/>
      <c r="L169" s="115" t="s">
        <v>145</v>
      </c>
      <c r="M169" s="27"/>
      <c r="N169" s="29"/>
      <c r="O169" s="29"/>
      <c r="P169" s="29">
        <f>VLOOKUP(L164,'MASTER AKUN'!$A$8:$E$72,4,FALSE)</f>
        <v>0</v>
      </c>
      <c r="Q169" s="29">
        <f>VLOOKUP(L164,'MASTER AKUN'!$A$8:$E$72,5,FALSE)</f>
        <v>0</v>
      </c>
    </row>
    <row r="170" spans="1:17" x14ac:dyDescent="0.25">
      <c r="A170" s="160"/>
      <c r="B170" s="160"/>
      <c r="C170" s="169"/>
      <c r="D170" s="160"/>
      <c r="E170" s="162"/>
      <c r="F170" s="162"/>
      <c r="G170" s="12" t="s">
        <v>129</v>
      </c>
      <c r="H170" s="12" t="s">
        <v>130</v>
      </c>
      <c r="J170" s="45">
        <v>38748</v>
      </c>
      <c r="K170" s="16" t="s">
        <v>183</v>
      </c>
      <c r="L170" s="116" t="s">
        <v>320</v>
      </c>
      <c r="M170" s="27"/>
      <c r="N170" s="29">
        <f ca="1">SUMIF('JURNAL UMUM'!$A$110:$H$110,L164,'JURNAL UMUM'!$G$110)</f>
        <v>500000</v>
      </c>
      <c r="O170" s="29"/>
      <c r="P170" s="29">
        <f t="shared" ref="P170" ca="1" si="17">IF(P169+N170&gt;Q169+O170,(P169+N170)-(Q169+O170),0)</f>
        <v>500000</v>
      </c>
      <c r="Q170" s="29"/>
    </row>
    <row r="171" spans="1:17" x14ac:dyDescent="0.25">
      <c r="A171" s="27"/>
      <c r="B171" s="27"/>
      <c r="C171" s="115" t="s">
        <v>145</v>
      </c>
      <c r="D171" s="27"/>
      <c r="E171" s="29"/>
      <c r="F171" s="29"/>
      <c r="G171" s="29">
        <f>VLOOKUP(C166,'MASTER AKUN'!$A$8:$E$72,4,FALSE)</f>
        <v>0</v>
      </c>
      <c r="H171" s="29">
        <f>VLOOKUP(C166,'MASTER AKUN'!$A$8:$E$72,5,FALSE)</f>
        <v>0</v>
      </c>
      <c r="J171" s="27"/>
      <c r="K171" s="27"/>
      <c r="L171" s="116"/>
      <c r="M171" s="27"/>
      <c r="N171" s="29"/>
      <c r="O171" s="29"/>
      <c r="P171" s="29"/>
      <c r="Q171" s="29"/>
    </row>
    <row r="172" spans="1:17" x14ac:dyDescent="0.25">
      <c r="A172" s="45">
        <v>38721</v>
      </c>
      <c r="B172" s="16" t="s">
        <v>159</v>
      </c>
      <c r="C172" s="116" t="s">
        <v>295</v>
      </c>
      <c r="D172" s="27"/>
      <c r="E172" s="29">
        <f ca="1">SUMIF('JURNAL UMUM'!$A$25:$H$25,'BUKU BESAR'!C166,'JURNAL UMUM'!$G$25)</f>
        <v>2175000</v>
      </c>
      <c r="F172" s="29"/>
      <c r="G172" s="29">
        <f t="shared" ref="G172:G174" ca="1" si="18">IF(G171+E172&gt;H171+F172,(G171+E172)-(H171+F172),0)</f>
        <v>2175000</v>
      </c>
      <c r="H172" s="29"/>
      <c r="L172" s="112"/>
    </row>
    <row r="173" spans="1:17" x14ac:dyDescent="0.25">
      <c r="A173" s="43">
        <v>38723</v>
      </c>
      <c r="B173" s="2" t="s">
        <v>160</v>
      </c>
      <c r="C173" s="116" t="s">
        <v>295</v>
      </c>
      <c r="D173" s="27"/>
      <c r="E173" s="29"/>
      <c r="F173" s="29">
        <f ca="1">SUMIF('JURNAL UMUM'!$A$29:H$29,'BUKU BESAR'!C166,'JURNAL UMUM'!$H$29:$H$29)</f>
        <v>32500</v>
      </c>
      <c r="G173" s="29">
        <f t="shared" ca="1" si="18"/>
        <v>2142500</v>
      </c>
      <c r="H173" s="29"/>
      <c r="J173" s="167" t="s">
        <v>166</v>
      </c>
      <c r="K173" s="167"/>
      <c r="L173" s="112">
        <v>61008</v>
      </c>
      <c r="N173" s="8"/>
      <c r="O173" s="8"/>
      <c r="P173" s="8"/>
      <c r="Q173" s="8"/>
    </row>
    <row r="174" spans="1:17" x14ac:dyDescent="0.25">
      <c r="A174" s="43">
        <v>38727</v>
      </c>
      <c r="B174" s="2" t="s">
        <v>164</v>
      </c>
      <c r="C174" s="116" t="s">
        <v>295</v>
      </c>
      <c r="D174" s="27"/>
      <c r="E174" s="29">
        <f ca="1">SUMIF('JURNAL UMUM'!$A$40:$H$40,'BUKU BESAR'!C166,'JURNAL UMUM'!$G$40)</f>
        <v>250000</v>
      </c>
      <c r="F174" s="29"/>
      <c r="G174" s="29">
        <f t="shared" ca="1" si="18"/>
        <v>2392500</v>
      </c>
      <c r="H174" s="29"/>
      <c r="J174" s="167" t="s">
        <v>2</v>
      </c>
      <c r="K174" s="167"/>
      <c r="L174" s="112" t="str">
        <f>VLOOKUP(L173,'MASTER AKUN'!$A$8:$C541,2,FALSE)</f>
        <v>Beban Pemasaran</v>
      </c>
      <c r="N174" s="8"/>
      <c r="O174" s="8"/>
      <c r="P174" s="8"/>
      <c r="Q174" s="8"/>
    </row>
    <row r="175" spans="1:17" x14ac:dyDescent="0.25">
      <c r="A175" s="57"/>
      <c r="B175" s="42"/>
      <c r="C175" s="118"/>
      <c r="D175" s="58"/>
      <c r="E175" s="56"/>
      <c r="F175" s="56"/>
      <c r="G175" s="56"/>
      <c r="H175" s="56"/>
      <c r="L175" s="112"/>
      <c r="N175" s="8"/>
      <c r="O175" s="8"/>
      <c r="P175" s="8"/>
      <c r="Q175" s="8"/>
    </row>
    <row r="176" spans="1:17" x14ac:dyDescent="0.25">
      <c r="J176" s="160" t="s">
        <v>142</v>
      </c>
      <c r="K176" s="160" t="s">
        <v>127</v>
      </c>
      <c r="L176" s="169" t="s">
        <v>143</v>
      </c>
      <c r="M176" s="160" t="s">
        <v>128</v>
      </c>
      <c r="N176" s="162" t="s">
        <v>129</v>
      </c>
      <c r="O176" s="162" t="s">
        <v>130</v>
      </c>
      <c r="P176" s="160" t="s">
        <v>144</v>
      </c>
      <c r="Q176" s="160"/>
    </row>
    <row r="177" spans="1:17" x14ac:dyDescent="0.25">
      <c r="A177" s="167" t="s">
        <v>166</v>
      </c>
      <c r="B177" s="167"/>
      <c r="C177" s="112">
        <v>11602</v>
      </c>
      <c r="E177" s="8"/>
      <c r="F177" s="8"/>
      <c r="G177" s="8"/>
      <c r="H177" s="8"/>
      <c r="J177" s="160"/>
      <c r="K177" s="160"/>
      <c r="L177" s="169"/>
      <c r="M177" s="160"/>
      <c r="N177" s="162"/>
      <c r="O177" s="162"/>
      <c r="P177" s="12" t="s">
        <v>129</v>
      </c>
      <c r="Q177" s="12" t="s">
        <v>130</v>
      </c>
    </row>
    <row r="178" spans="1:17" x14ac:dyDescent="0.25">
      <c r="A178" s="167" t="s">
        <v>2</v>
      </c>
      <c r="B178" s="167"/>
      <c r="C178" s="112" t="str">
        <f>VLOOKUP(C177,'MASTER AKUN'!$A$8:$C198,2,FALSE)</f>
        <v>Uang Muka Pembelian</v>
      </c>
      <c r="E178" s="8"/>
      <c r="F178" s="8"/>
      <c r="G178" s="8"/>
      <c r="H178" s="8"/>
      <c r="J178" s="27"/>
      <c r="K178" s="27"/>
      <c r="L178" s="115" t="s">
        <v>145</v>
      </c>
      <c r="M178" s="27"/>
      <c r="N178" s="29"/>
      <c r="O178" s="29"/>
      <c r="P178" s="29">
        <f>VLOOKUP(L173,'MASTER AKUN'!$A$8:$E$72,4,FALSE)</f>
        <v>0</v>
      </c>
      <c r="Q178" s="29">
        <f>VLOOKUP(L173,'MASTER AKUN'!$A$8:$E$72,5,FALSE)</f>
        <v>0</v>
      </c>
    </row>
    <row r="179" spans="1:17" x14ac:dyDescent="0.25">
      <c r="E179" s="8"/>
      <c r="F179" s="8"/>
      <c r="G179" s="8"/>
      <c r="H179" s="8"/>
      <c r="J179" s="45">
        <v>38746</v>
      </c>
      <c r="K179" s="16" t="s">
        <v>178</v>
      </c>
      <c r="L179" s="116" t="s">
        <v>321</v>
      </c>
      <c r="M179" s="27"/>
      <c r="N179" s="29">
        <f ca="1">SUMIF('JURNAL UMUM'!$A$88:$H$88,L173,'JURNAL UMUM'!$G$88)</f>
        <v>750000</v>
      </c>
      <c r="O179" s="29"/>
      <c r="P179" s="29">
        <f t="shared" ref="P179" ca="1" si="19">IF(P178+N179&gt;Q178+O179,(P178+N179)-(Q178+O179),0)</f>
        <v>750000</v>
      </c>
      <c r="Q179" s="29"/>
    </row>
    <row r="180" spans="1:17" x14ac:dyDescent="0.25">
      <c r="A180" s="160" t="s">
        <v>142</v>
      </c>
      <c r="B180" s="160" t="s">
        <v>127</v>
      </c>
      <c r="C180" s="169" t="s">
        <v>143</v>
      </c>
      <c r="D180" s="160" t="s">
        <v>128</v>
      </c>
      <c r="E180" s="162" t="s">
        <v>129</v>
      </c>
      <c r="F180" s="162" t="s">
        <v>130</v>
      </c>
      <c r="G180" s="160" t="s">
        <v>144</v>
      </c>
      <c r="H180" s="160"/>
      <c r="J180" s="27"/>
      <c r="K180" s="27"/>
      <c r="L180" s="116"/>
      <c r="M180" s="27"/>
      <c r="N180" s="29"/>
      <c r="O180" s="29"/>
      <c r="P180" s="29"/>
      <c r="Q180" s="29"/>
    </row>
    <row r="181" spans="1:17" x14ac:dyDescent="0.25">
      <c r="A181" s="160"/>
      <c r="B181" s="160"/>
      <c r="C181" s="169"/>
      <c r="D181" s="160"/>
      <c r="E181" s="162"/>
      <c r="F181" s="162"/>
      <c r="G181" s="12" t="s">
        <v>129</v>
      </c>
      <c r="H181" s="12" t="s">
        <v>130</v>
      </c>
      <c r="L181" s="112"/>
    </row>
    <row r="182" spans="1:17" x14ac:dyDescent="0.25">
      <c r="A182" s="27"/>
      <c r="B182" s="27"/>
      <c r="C182" s="115" t="s">
        <v>145</v>
      </c>
      <c r="D182" s="27"/>
      <c r="E182" s="29"/>
      <c r="F182" s="29"/>
      <c r="G182" s="29">
        <f>VLOOKUP(C177,'MASTER AKUN'!$A$8:$E$72,4,FALSE)</f>
        <v>0</v>
      </c>
      <c r="H182" s="29">
        <f>VLOOKUP(C177,'MASTER AKUN'!$A$8:$E$72,5,FALSE)</f>
        <v>0</v>
      </c>
      <c r="J182" s="167" t="s">
        <v>166</v>
      </c>
      <c r="K182" s="167"/>
      <c r="L182" s="112">
        <v>61009</v>
      </c>
      <c r="N182" s="8"/>
      <c r="O182" s="8"/>
      <c r="P182" s="8"/>
      <c r="Q182" s="8"/>
    </row>
    <row r="183" spans="1:17" x14ac:dyDescent="0.25">
      <c r="A183" s="43">
        <v>38719</v>
      </c>
      <c r="B183" s="2" t="s">
        <v>167</v>
      </c>
      <c r="C183" s="116" t="s">
        <v>202</v>
      </c>
      <c r="D183" s="27"/>
      <c r="E183" s="29">
        <f ca="1">SUMIF('JURNAL UMUM'!$A$9:$H$9,'BUKU BESAR'!C177,'JURNAL UMUM'!$G$9)</f>
        <v>6000000</v>
      </c>
      <c r="F183" s="29"/>
      <c r="G183" s="29">
        <f t="shared" ref="G183" ca="1" si="20">IF(G182+E183&gt;H182+F183,(G182+E183)-(H182+F183),0)</f>
        <v>6000000</v>
      </c>
      <c r="H183" s="29"/>
      <c r="J183" s="167" t="s">
        <v>2</v>
      </c>
      <c r="K183" s="167"/>
      <c r="L183" s="112" t="str">
        <f>VLOOKUP(L182,'MASTER AKUN'!$A$8:$C550,2,FALSE)</f>
        <v>Beban Transportasi</v>
      </c>
      <c r="N183" s="8"/>
      <c r="O183" s="8"/>
      <c r="P183" s="8"/>
      <c r="Q183" s="8"/>
    </row>
    <row r="184" spans="1:17" x14ac:dyDescent="0.25">
      <c r="A184" s="27"/>
      <c r="B184" s="27"/>
      <c r="C184" s="116"/>
      <c r="D184" s="27"/>
      <c r="E184" s="29"/>
      <c r="F184" s="29"/>
      <c r="G184" s="29"/>
      <c r="H184" s="29"/>
      <c r="L184" s="112"/>
      <c r="N184" s="8"/>
      <c r="O184" s="8"/>
      <c r="P184" s="8"/>
      <c r="Q184" s="8"/>
    </row>
    <row r="185" spans="1:17" x14ac:dyDescent="0.25">
      <c r="J185" s="160" t="s">
        <v>142</v>
      </c>
      <c r="K185" s="160" t="s">
        <v>127</v>
      </c>
      <c r="L185" s="169" t="s">
        <v>143</v>
      </c>
      <c r="M185" s="160" t="s">
        <v>128</v>
      </c>
      <c r="N185" s="162" t="s">
        <v>129</v>
      </c>
      <c r="O185" s="162" t="s">
        <v>130</v>
      </c>
      <c r="P185" s="160" t="s">
        <v>144</v>
      </c>
      <c r="Q185" s="160"/>
    </row>
    <row r="186" spans="1:17" x14ac:dyDescent="0.25">
      <c r="A186" s="167" t="s">
        <v>166</v>
      </c>
      <c r="B186" s="167"/>
      <c r="C186" s="112">
        <v>12000</v>
      </c>
      <c r="E186" s="8"/>
      <c r="F186" s="8"/>
      <c r="G186" s="8"/>
      <c r="H186" s="8"/>
      <c r="J186" s="160"/>
      <c r="K186" s="160"/>
      <c r="L186" s="169"/>
      <c r="M186" s="160"/>
      <c r="N186" s="162"/>
      <c r="O186" s="162"/>
      <c r="P186" s="12" t="s">
        <v>129</v>
      </c>
      <c r="Q186" s="12" t="s">
        <v>130</v>
      </c>
    </row>
    <row r="187" spans="1:17" x14ac:dyDescent="0.25">
      <c r="A187" s="167" t="s">
        <v>2</v>
      </c>
      <c r="B187" s="167"/>
      <c r="C187" s="112" t="str">
        <f>VLOOKUP(C186,'MASTER AKUN'!$A$8:$C207,2,FALSE)</f>
        <v>AKTIVA TETAP</v>
      </c>
      <c r="E187" s="8"/>
      <c r="F187" s="8"/>
      <c r="G187" s="8"/>
      <c r="H187" s="8"/>
      <c r="J187" s="27"/>
      <c r="K187" s="27"/>
      <c r="L187" s="115" t="s">
        <v>145</v>
      </c>
      <c r="M187" s="27"/>
      <c r="N187" s="29"/>
      <c r="O187" s="29"/>
      <c r="P187" s="29">
        <f>VLOOKUP(L182,'MASTER AKUN'!$A$8:$E$72,4,FALSE)</f>
        <v>0</v>
      </c>
      <c r="Q187" s="29">
        <f>VLOOKUP(L182,'MASTER AKUN'!$A$8:$E$72,5,FALSE)</f>
        <v>0</v>
      </c>
    </row>
    <row r="188" spans="1:17" x14ac:dyDescent="0.25">
      <c r="E188" s="8"/>
      <c r="F188" s="8"/>
      <c r="G188" s="8"/>
      <c r="H188" s="8"/>
      <c r="J188" s="45">
        <v>38746</v>
      </c>
      <c r="K188" s="16" t="s">
        <v>178</v>
      </c>
      <c r="L188" s="116" t="s">
        <v>322</v>
      </c>
      <c r="M188" s="27"/>
      <c r="N188" s="29">
        <f ca="1">SUMIF('JURNAL UMUM'!$A$89:$H$89,L182,'JURNAL UMUM'!$G$89)</f>
        <v>250000</v>
      </c>
      <c r="O188" s="29"/>
      <c r="P188" s="29">
        <f t="shared" ref="P188" ca="1" si="21">IF(P187+N188&gt;Q187+O188,(P187+N188)-(Q187+O188),0)</f>
        <v>250000</v>
      </c>
      <c r="Q188" s="29"/>
    </row>
    <row r="189" spans="1:17" x14ac:dyDescent="0.25">
      <c r="A189" s="160" t="s">
        <v>142</v>
      </c>
      <c r="B189" s="160" t="s">
        <v>127</v>
      </c>
      <c r="C189" s="169" t="s">
        <v>143</v>
      </c>
      <c r="D189" s="160" t="s">
        <v>128</v>
      </c>
      <c r="E189" s="162" t="s">
        <v>129</v>
      </c>
      <c r="F189" s="162" t="s">
        <v>130</v>
      </c>
      <c r="G189" s="160" t="s">
        <v>144</v>
      </c>
      <c r="H189" s="160"/>
      <c r="J189" s="27"/>
      <c r="K189" s="27"/>
      <c r="L189" s="116"/>
      <c r="M189" s="27"/>
      <c r="N189" s="29"/>
      <c r="O189" s="29"/>
      <c r="P189" s="29"/>
      <c r="Q189" s="29"/>
    </row>
    <row r="190" spans="1:17" x14ac:dyDescent="0.25">
      <c r="A190" s="160"/>
      <c r="B190" s="160"/>
      <c r="C190" s="169"/>
      <c r="D190" s="160"/>
      <c r="E190" s="162"/>
      <c r="F190" s="162"/>
      <c r="G190" s="12" t="s">
        <v>129</v>
      </c>
      <c r="H190" s="12" t="s">
        <v>130</v>
      </c>
      <c r="L190" s="112"/>
    </row>
    <row r="191" spans="1:17" x14ac:dyDescent="0.25">
      <c r="A191" s="27"/>
      <c r="B191" s="27"/>
      <c r="C191" s="115" t="s">
        <v>145</v>
      </c>
      <c r="D191" s="27"/>
      <c r="E191" s="29"/>
      <c r="F191" s="29"/>
      <c r="G191" s="29">
        <f>VLOOKUP(C186,'MASTER AKUN'!$A$8:$E$72,4,FALSE)</f>
        <v>0</v>
      </c>
      <c r="H191" s="29">
        <f>VLOOKUP(C186,'MASTER AKUN'!$A$8:$E$72,5,FALSE)</f>
        <v>0</v>
      </c>
      <c r="J191" s="167" t="s">
        <v>166</v>
      </c>
      <c r="K191" s="167"/>
      <c r="L191" s="112">
        <v>61010</v>
      </c>
      <c r="N191" s="8"/>
      <c r="O191" s="8"/>
      <c r="P191" s="8"/>
      <c r="Q191" s="8"/>
    </row>
    <row r="192" spans="1:17" x14ac:dyDescent="0.25">
      <c r="A192" s="27"/>
      <c r="B192" s="27"/>
      <c r="C192" s="116"/>
      <c r="D192" s="27"/>
      <c r="E192" s="29"/>
      <c r="F192" s="29"/>
      <c r="G192" s="29"/>
      <c r="H192" s="29"/>
      <c r="J192" s="167" t="s">
        <v>2</v>
      </c>
      <c r="K192" s="167"/>
      <c r="L192" s="112" t="str">
        <f>VLOOKUP(L191,'MASTER AKUN'!$A$8:$C559,2,FALSE)</f>
        <v>Beban Perawatan AC</v>
      </c>
      <c r="N192" s="8"/>
      <c r="O192" s="8"/>
      <c r="P192" s="8"/>
      <c r="Q192" s="8"/>
    </row>
    <row r="193" spans="1:17" x14ac:dyDescent="0.25">
      <c r="A193" s="27"/>
      <c r="B193" s="27"/>
      <c r="C193" s="116"/>
      <c r="D193" s="27"/>
      <c r="E193" s="29"/>
      <c r="F193" s="29"/>
      <c r="G193" s="29"/>
      <c r="H193" s="29"/>
      <c r="L193" s="112"/>
      <c r="N193" s="8"/>
      <c r="O193" s="8"/>
      <c r="P193" s="8"/>
      <c r="Q193" s="8"/>
    </row>
    <row r="194" spans="1:17" x14ac:dyDescent="0.25">
      <c r="J194" s="160" t="s">
        <v>142</v>
      </c>
      <c r="K194" s="160" t="s">
        <v>127</v>
      </c>
      <c r="L194" s="169" t="s">
        <v>143</v>
      </c>
      <c r="M194" s="160" t="s">
        <v>128</v>
      </c>
      <c r="N194" s="162" t="s">
        <v>129</v>
      </c>
      <c r="O194" s="162" t="s">
        <v>130</v>
      </c>
      <c r="P194" s="160" t="s">
        <v>144</v>
      </c>
      <c r="Q194" s="160"/>
    </row>
    <row r="195" spans="1:17" x14ac:dyDescent="0.25">
      <c r="A195" s="167" t="s">
        <v>166</v>
      </c>
      <c r="B195" s="167"/>
      <c r="C195" s="112">
        <v>12100</v>
      </c>
      <c r="E195" s="8"/>
      <c r="F195" s="8"/>
      <c r="G195" s="8"/>
      <c r="H195" s="8"/>
      <c r="J195" s="160"/>
      <c r="K195" s="160"/>
      <c r="L195" s="169"/>
      <c r="M195" s="160"/>
      <c r="N195" s="162"/>
      <c r="O195" s="162"/>
      <c r="P195" s="12" t="s">
        <v>129</v>
      </c>
      <c r="Q195" s="12" t="s">
        <v>130</v>
      </c>
    </row>
    <row r="196" spans="1:17" x14ac:dyDescent="0.25">
      <c r="A196" s="167" t="s">
        <v>2</v>
      </c>
      <c r="B196" s="167"/>
      <c r="C196" s="112" t="str">
        <f>VLOOKUP(C195,'MASTER AKUN'!$A$8:$C216,2,FALSE)</f>
        <v>NILAI BUKU PERALATAN KANTOR</v>
      </c>
      <c r="E196" s="8"/>
      <c r="F196" s="8"/>
      <c r="G196" s="8"/>
      <c r="H196" s="8"/>
      <c r="J196" s="27"/>
      <c r="K196" s="27"/>
      <c r="L196" s="115" t="s">
        <v>145</v>
      </c>
      <c r="M196" s="27"/>
      <c r="N196" s="29"/>
      <c r="O196" s="29"/>
      <c r="P196" s="29">
        <f>VLOOKUP(L191,'MASTER AKUN'!$A$8:$E$72,4,FALSE)</f>
        <v>0</v>
      </c>
      <c r="Q196" s="29">
        <f>VLOOKUP(L191,'MASTER AKUN'!$A$8:$E$72,5,FALSE)</f>
        <v>0</v>
      </c>
    </row>
    <row r="197" spans="1:17" x14ac:dyDescent="0.25">
      <c r="E197" s="8"/>
      <c r="F197" s="8"/>
      <c r="G197" s="8"/>
      <c r="H197" s="8"/>
      <c r="J197" s="45">
        <v>38746</v>
      </c>
      <c r="K197" s="16" t="s">
        <v>178</v>
      </c>
      <c r="L197" s="116" t="s">
        <v>323</v>
      </c>
      <c r="M197" s="27"/>
      <c r="N197" s="29">
        <f ca="1">SUMIF('JURNAL UMUM'!$A$90:$H$90,L191,'JURNAL UMUM'!$G$90)</f>
        <v>200000</v>
      </c>
      <c r="O197" s="29"/>
      <c r="P197" s="29">
        <f t="shared" ref="P197" ca="1" si="22">IF(P196+N197&gt;Q196+O197,(P196+N197)-(Q196+O197),0)</f>
        <v>200000</v>
      </c>
      <c r="Q197" s="29"/>
    </row>
    <row r="198" spans="1:17" x14ac:dyDescent="0.25">
      <c r="A198" s="160" t="s">
        <v>142</v>
      </c>
      <c r="B198" s="160" t="s">
        <v>127</v>
      </c>
      <c r="C198" s="169" t="s">
        <v>143</v>
      </c>
      <c r="D198" s="160" t="s">
        <v>128</v>
      </c>
      <c r="E198" s="162" t="s">
        <v>129</v>
      </c>
      <c r="F198" s="162" t="s">
        <v>130</v>
      </c>
      <c r="G198" s="160" t="s">
        <v>144</v>
      </c>
      <c r="H198" s="160"/>
      <c r="J198" s="27"/>
      <c r="K198" s="27"/>
      <c r="L198" s="116"/>
      <c r="M198" s="27"/>
      <c r="N198" s="29"/>
      <c r="O198" s="29"/>
      <c r="P198" s="29"/>
      <c r="Q198" s="29"/>
    </row>
    <row r="199" spans="1:17" x14ac:dyDescent="0.25">
      <c r="A199" s="160"/>
      <c r="B199" s="160"/>
      <c r="C199" s="169"/>
      <c r="D199" s="160"/>
      <c r="E199" s="162"/>
      <c r="F199" s="162"/>
      <c r="G199" s="12" t="s">
        <v>129</v>
      </c>
      <c r="H199" s="12" t="s">
        <v>130</v>
      </c>
      <c r="L199" s="112"/>
    </row>
    <row r="200" spans="1:17" x14ac:dyDescent="0.25">
      <c r="A200" s="27"/>
      <c r="B200" s="27"/>
      <c r="C200" s="115" t="s">
        <v>145</v>
      </c>
      <c r="D200" s="27"/>
      <c r="E200" s="29"/>
      <c r="F200" s="29"/>
      <c r="G200" s="29">
        <f>VLOOKUP(C195,'MASTER AKUN'!$A$8:$E$72,4,FALSE)</f>
        <v>0</v>
      </c>
      <c r="H200" s="29">
        <f>VLOOKUP(C195,'MASTER AKUN'!$A$8:$E$72,5,FALSE)</f>
        <v>0</v>
      </c>
      <c r="J200" s="167" t="s">
        <v>166</v>
      </c>
      <c r="K200" s="167"/>
      <c r="L200" s="112">
        <v>61011</v>
      </c>
      <c r="N200" s="8"/>
      <c r="O200" s="8"/>
      <c r="P200" s="8"/>
      <c r="Q200" s="8"/>
    </row>
    <row r="201" spans="1:17" x14ac:dyDescent="0.25">
      <c r="A201" s="27"/>
      <c r="B201" s="27"/>
      <c r="C201" s="116"/>
      <c r="D201" s="27"/>
      <c r="E201" s="29"/>
      <c r="F201" s="29"/>
      <c r="G201" s="29"/>
      <c r="H201" s="29"/>
      <c r="J201" s="167" t="s">
        <v>2</v>
      </c>
      <c r="K201" s="167"/>
      <c r="L201" s="112" t="str">
        <f>VLOOKUP(L200,'MASTER AKUN'!$A$8:$C568,2,FALSE)</f>
        <v>Beban Perlengkapan Kantor</v>
      </c>
      <c r="N201" s="8"/>
      <c r="O201" s="8"/>
      <c r="P201" s="8"/>
      <c r="Q201" s="8"/>
    </row>
    <row r="202" spans="1:17" x14ac:dyDescent="0.25">
      <c r="A202" s="27"/>
      <c r="B202" s="27"/>
      <c r="C202" s="116"/>
      <c r="D202" s="27"/>
      <c r="E202" s="29"/>
      <c r="F202" s="29"/>
      <c r="G202" s="29"/>
      <c r="H202" s="29"/>
      <c r="L202" s="112"/>
      <c r="N202" s="8"/>
      <c r="O202" s="8"/>
      <c r="P202" s="8"/>
      <c r="Q202" s="8"/>
    </row>
    <row r="203" spans="1:17" x14ac:dyDescent="0.25">
      <c r="J203" s="160" t="s">
        <v>142</v>
      </c>
      <c r="K203" s="160" t="s">
        <v>127</v>
      </c>
      <c r="L203" s="169" t="s">
        <v>143</v>
      </c>
      <c r="M203" s="160" t="s">
        <v>128</v>
      </c>
      <c r="N203" s="162" t="s">
        <v>129</v>
      </c>
      <c r="O203" s="162" t="s">
        <v>130</v>
      </c>
      <c r="P203" s="160" t="s">
        <v>144</v>
      </c>
      <c r="Q203" s="160"/>
    </row>
    <row r="204" spans="1:17" x14ac:dyDescent="0.25">
      <c r="A204" s="167" t="s">
        <v>166</v>
      </c>
      <c r="B204" s="167"/>
      <c r="C204" s="112">
        <v>12101</v>
      </c>
      <c r="E204" s="8"/>
      <c r="F204" s="8"/>
      <c r="G204" s="8"/>
      <c r="H204" s="8"/>
      <c r="J204" s="160"/>
      <c r="K204" s="160"/>
      <c r="L204" s="169"/>
      <c r="M204" s="160"/>
      <c r="N204" s="162"/>
      <c r="O204" s="162"/>
      <c r="P204" s="12" t="s">
        <v>129</v>
      </c>
      <c r="Q204" s="12" t="s">
        <v>130</v>
      </c>
    </row>
    <row r="205" spans="1:17" x14ac:dyDescent="0.25">
      <c r="A205" s="167" t="s">
        <v>2</v>
      </c>
      <c r="B205" s="167"/>
      <c r="C205" s="112" t="str">
        <f>VLOOKUP(C204,'MASTER AKUN'!$A$8:$C225,2,FALSE)</f>
        <v>Peralatan Kantor</v>
      </c>
      <c r="E205" s="8"/>
      <c r="F205" s="8"/>
      <c r="G205" s="8"/>
      <c r="H205" s="8"/>
      <c r="J205" s="27"/>
      <c r="K205" s="27"/>
      <c r="L205" s="115" t="s">
        <v>145</v>
      </c>
      <c r="M205" s="27"/>
      <c r="N205" s="29"/>
      <c r="O205" s="29"/>
      <c r="P205" s="29">
        <f>VLOOKUP(L200,'MASTER AKUN'!$A$8:$E$72,4,FALSE)</f>
        <v>0</v>
      </c>
      <c r="Q205" s="29">
        <f>VLOOKUP(L200,'MASTER AKUN'!$A$8:$E$72,5,FALSE)</f>
        <v>0</v>
      </c>
    </row>
    <row r="206" spans="1:17" x14ac:dyDescent="0.25">
      <c r="E206" s="8"/>
      <c r="F206" s="8"/>
      <c r="G206" s="8"/>
      <c r="H206" s="8"/>
      <c r="J206" s="45">
        <v>38746</v>
      </c>
      <c r="K206" s="16" t="s">
        <v>178</v>
      </c>
      <c r="L206" s="116" t="s">
        <v>324</v>
      </c>
      <c r="M206" s="27"/>
      <c r="N206" s="29">
        <f ca="1">SUMIF('JURNAL UMUM'!$A$91:$H$91,L200,'JURNAL UMUM'!$G$91)</f>
        <v>50000</v>
      </c>
      <c r="O206" s="29"/>
      <c r="P206" s="29">
        <f t="shared" ref="P206" ca="1" si="23">IF(P205+N206&gt;Q205+O206,(P205+N206)-(Q205+O206),0)</f>
        <v>50000</v>
      </c>
      <c r="Q206" s="29"/>
    </row>
    <row r="207" spans="1:17" x14ac:dyDescent="0.25">
      <c r="A207" s="160" t="s">
        <v>142</v>
      </c>
      <c r="B207" s="160" t="s">
        <v>127</v>
      </c>
      <c r="C207" s="169" t="s">
        <v>143</v>
      </c>
      <c r="D207" s="160" t="s">
        <v>128</v>
      </c>
      <c r="E207" s="162" t="s">
        <v>129</v>
      </c>
      <c r="F207" s="162" t="s">
        <v>130</v>
      </c>
      <c r="G207" s="160" t="s">
        <v>144</v>
      </c>
      <c r="H207" s="160"/>
      <c r="J207" s="27"/>
      <c r="K207" s="27"/>
      <c r="L207" s="116"/>
      <c r="M207" s="27"/>
      <c r="N207" s="29"/>
      <c r="O207" s="29"/>
      <c r="P207" s="29"/>
      <c r="Q207" s="29"/>
    </row>
    <row r="208" spans="1:17" x14ac:dyDescent="0.25">
      <c r="A208" s="160"/>
      <c r="B208" s="160"/>
      <c r="C208" s="169"/>
      <c r="D208" s="160"/>
      <c r="E208" s="162"/>
      <c r="F208" s="162"/>
      <c r="G208" s="12" t="s">
        <v>129</v>
      </c>
      <c r="H208" s="12" t="s">
        <v>130</v>
      </c>
      <c r="L208" s="112"/>
    </row>
    <row r="209" spans="1:17" x14ac:dyDescent="0.25">
      <c r="A209" s="27"/>
      <c r="B209" s="27"/>
      <c r="C209" s="115" t="s">
        <v>145</v>
      </c>
      <c r="D209" s="27"/>
      <c r="E209" s="29"/>
      <c r="F209" s="29"/>
      <c r="G209" s="29">
        <f>VLOOKUP(C204,'MASTER AKUN'!$A$8:$E$72,4,FALSE)</f>
        <v>25000000</v>
      </c>
      <c r="H209" s="29">
        <f>VLOOKUP(C204,'MASTER AKUN'!$A$8:$E$72,5,FALSE)</f>
        <v>0</v>
      </c>
      <c r="J209" s="167" t="s">
        <v>166</v>
      </c>
      <c r="K209" s="167"/>
      <c r="L209" s="112">
        <v>61099</v>
      </c>
      <c r="N209" s="8"/>
      <c r="O209" s="8"/>
      <c r="P209" s="8"/>
      <c r="Q209" s="8"/>
    </row>
    <row r="210" spans="1:17" x14ac:dyDescent="0.25">
      <c r="A210" s="27"/>
      <c r="B210" s="27"/>
      <c r="C210" s="116"/>
      <c r="D210" s="27"/>
      <c r="E210" s="29"/>
      <c r="F210" s="29"/>
      <c r="G210" s="29"/>
      <c r="H210" s="29"/>
      <c r="J210" s="167" t="s">
        <v>2</v>
      </c>
      <c r="K210" s="167"/>
      <c r="L210" s="112" t="str">
        <f>VLOOKUP(L209,'MASTER AKUN'!$A$8:$C577,2,FALSE)</f>
        <v>Beban Umum Lain-Lain</v>
      </c>
      <c r="N210" s="8"/>
      <c r="O210" s="8"/>
      <c r="P210" s="8"/>
      <c r="Q210" s="8"/>
    </row>
    <row r="211" spans="1:17" x14ac:dyDescent="0.25">
      <c r="A211" s="27"/>
      <c r="B211" s="27"/>
      <c r="C211" s="116"/>
      <c r="D211" s="27"/>
      <c r="E211" s="29"/>
      <c r="F211" s="29"/>
      <c r="G211" s="29"/>
      <c r="H211" s="29"/>
      <c r="L211" s="112"/>
      <c r="N211" s="8"/>
      <c r="O211" s="8"/>
      <c r="P211" s="8"/>
      <c r="Q211" s="8"/>
    </row>
    <row r="212" spans="1:17" x14ac:dyDescent="0.25">
      <c r="J212" s="160" t="s">
        <v>142</v>
      </c>
      <c r="K212" s="160" t="s">
        <v>127</v>
      </c>
      <c r="L212" s="169" t="s">
        <v>143</v>
      </c>
      <c r="M212" s="160" t="s">
        <v>128</v>
      </c>
      <c r="N212" s="162" t="s">
        <v>129</v>
      </c>
      <c r="O212" s="162" t="s">
        <v>130</v>
      </c>
      <c r="P212" s="160" t="s">
        <v>144</v>
      </c>
      <c r="Q212" s="160"/>
    </row>
    <row r="213" spans="1:17" x14ac:dyDescent="0.25">
      <c r="A213" s="167" t="s">
        <v>166</v>
      </c>
      <c r="B213" s="167"/>
      <c r="C213" s="112">
        <v>12102</v>
      </c>
      <c r="E213" s="8"/>
      <c r="F213" s="8"/>
      <c r="G213" s="8"/>
      <c r="H213" s="8"/>
      <c r="J213" s="160"/>
      <c r="K213" s="160"/>
      <c r="L213" s="169"/>
      <c r="M213" s="160"/>
      <c r="N213" s="162"/>
      <c r="O213" s="162"/>
      <c r="P213" s="12" t="s">
        <v>129</v>
      </c>
      <c r="Q213" s="12" t="s">
        <v>130</v>
      </c>
    </row>
    <row r="214" spans="1:17" x14ac:dyDescent="0.25">
      <c r="A214" s="167" t="s">
        <v>2</v>
      </c>
      <c r="B214" s="167"/>
      <c r="C214" s="112" t="str">
        <f>VLOOKUP(C213,'MASTER AKUN'!$A$8:$C234,2,FALSE)</f>
        <v>Akumulasi Penyusutan Peralatan Kantor</v>
      </c>
      <c r="E214" s="8"/>
      <c r="F214" s="8"/>
      <c r="G214" s="8"/>
      <c r="H214" s="8"/>
      <c r="J214" s="27"/>
      <c r="K214" s="27"/>
      <c r="L214" s="115" t="s">
        <v>145</v>
      </c>
      <c r="M214" s="27"/>
      <c r="N214" s="29"/>
      <c r="O214" s="29"/>
      <c r="P214" s="29">
        <f>VLOOKUP(L209,'MASTER AKUN'!$A$8:$E$72,4,FALSE)</f>
        <v>0</v>
      </c>
      <c r="Q214" s="29">
        <f>VLOOKUP(L209,'MASTER AKUN'!$A$8:$E$72,5,FALSE)</f>
        <v>0</v>
      </c>
    </row>
    <row r="215" spans="1:17" x14ac:dyDescent="0.25">
      <c r="E215" s="8"/>
      <c r="F215" s="8"/>
      <c r="G215" s="8"/>
      <c r="H215" s="8"/>
      <c r="J215" s="27"/>
      <c r="K215" s="27"/>
      <c r="L215" s="116"/>
      <c r="M215" s="27"/>
      <c r="N215" s="29"/>
      <c r="O215" s="29"/>
      <c r="P215" s="29"/>
      <c r="Q215" s="29"/>
    </row>
    <row r="216" spans="1:17" x14ac:dyDescent="0.25">
      <c r="A216" s="160" t="s">
        <v>142</v>
      </c>
      <c r="B216" s="160" t="s">
        <v>127</v>
      </c>
      <c r="C216" s="169" t="s">
        <v>143</v>
      </c>
      <c r="D216" s="160" t="s">
        <v>128</v>
      </c>
      <c r="E216" s="162" t="s">
        <v>129</v>
      </c>
      <c r="F216" s="162" t="s">
        <v>130</v>
      </c>
      <c r="G216" s="160" t="s">
        <v>144</v>
      </c>
      <c r="H216" s="160"/>
      <c r="J216" s="27"/>
      <c r="K216" s="27"/>
      <c r="L216" s="116"/>
      <c r="M216" s="27"/>
      <c r="N216" s="29"/>
      <c r="O216" s="29"/>
      <c r="P216" s="29"/>
      <c r="Q216" s="29"/>
    </row>
    <row r="217" spans="1:17" x14ac:dyDescent="0.25">
      <c r="A217" s="160"/>
      <c r="B217" s="160"/>
      <c r="C217" s="169"/>
      <c r="D217" s="160"/>
      <c r="E217" s="162"/>
      <c r="F217" s="162"/>
      <c r="G217" s="12" t="s">
        <v>129</v>
      </c>
      <c r="H217" s="12" t="s">
        <v>130</v>
      </c>
      <c r="L217" s="112"/>
    </row>
    <row r="218" spans="1:17" x14ac:dyDescent="0.25">
      <c r="A218" s="27"/>
      <c r="B218" s="27"/>
      <c r="C218" s="115" t="s">
        <v>145</v>
      </c>
      <c r="D218" s="27"/>
      <c r="E218" s="29"/>
      <c r="F218" s="29"/>
      <c r="G218" s="29">
        <f>VLOOKUP(C213,'MASTER AKUN'!$A$8:$E$72,4,FALSE)</f>
        <v>0</v>
      </c>
      <c r="H218" s="29">
        <f>VLOOKUP(C213,'MASTER AKUN'!$A$8:$E$72,5,FALSE)</f>
        <v>7500000</v>
      </c>
      <c r="J218" s="167" t="s">
        <v>166</v>
      </c>
      <c r="K218" s="167"/>
      <c r="L218" s="112">
        <v>80000</v>
      </c>
      <c r="N218" s="8"/>
      <c r="O218" s="8"/>
      <c r="P218" s="8"/>
      <c r="Q218" s="8"/>
    </row>
    <row r="219" spans="1:17" x14ac:dyDescent="0.25">
      <c r="A219" s="45">
        <v>38748</v>
      </c>
      <c r="B219" s="16" t="s">
        <v>183</v>
      </c>
      <c r="C219" s="116" t="s">
        <v>296</v>
      </c>
      <c r="D219" s="27"/>
      <c r="E219" s="29"/>
      <c r="F219" s="29">
        <f ca="1">SUMIF('JURNAL UMUM'!$A$111:H$111,'BUKU BESAR'!C213,'JURNAL UMUM'!$H$111:$H$111)</f>
        <v>400000</v>
      </c>
      <c r="G219" s="29"/>
      <c r="H219" s="29">
        <f ca="1">IF(H218+F219&gt;G218+E219,(H218+F219)-(G218+E219),0)</f>
        <v>7900000</v>
      </c>
      <c r="J219" s="167" t="s">
        <v>2</v>
      </c>
      <c r="K219" s="167"/>
      <c r="L219" s="112" t="str">
        <f>VLOOKUP(L218,'MASTER AKUN'!$A$8:$C586,2,FALSE)</f>
        <v>PENDAPATAN LUAR USAHA</v>
      </c>
      <c r="N219" s="8"/>
      <c r="O219" s="8"/>
      <c r="P219" s="8"/>
      <c r="Q219" s="8"/>
    </row>
    <row r="220" spans="1:17" x14ac:dyDescent="0.25">
      <c r="A220" s="27"/>
      <c r="B220" s="27"/>
      <c r="C220" s="116"/>
      <c r="D220" s="27"/>
      <c r="E220" s="29"/>
      <c r="F220" s="29"/>
      <c r="G220" s="29"/>
      <c r="H220" s="29"/>
      <c r="L220" s="112"/>
      <c r="N220" s="8"/>
      <c r="O220" s="8"/>
      <c r="P220" s="8"/>
      <c r="Q220" s="8"/>
    </row>
    <row r="221" spans="1:17" x14ac:dyDescent="0.25">
      <c r="J221" s="160" t="s">
        <v>142</v>
      </c>
      <c r="K221" s="160" t="s">
        <v>127</v>
      </c>
      <c r="L221" s="169" t="s">
        <v>143</v>
      </c>
      <c r="M221" s="160" t="s">
        <v>128</v>
      </c>
      <c r="N221" s="162" t="s">
        <v>129</v>
      </c>
      <c r="O221" s="162" t="s">
        <v>130</v>
      </c>
      <c r="P221" s="160" t="s">
        <v>144</v>
      </c>
      <c r="Q221" s="160"/>
    </row>
    <row r="222" spans="1:17" x14ac:dyDescent="0.25">
      <c r="A222" s="167" t="s">
        <v>166</v>
      </c>
      <c r="B222" s="167"/>
      <c r="C222" s="112">
        <v>12200</v>
      </c>
      <c r="E222" s="8"/>
      <c r="F222" s="8"/>
      <c r="G222" s="8"/>
      <c r="H222" s="8"/>
      <c r="J222" s="160"/>
      <c r="K222" s="160"/>
      <c r="L222" s="169"/>
      <c r="M222" s="160"/>
      <c r="N222" s="162"/>
      <c r="O222" s="162"/>
      <c r="P222" s="12" t="s">
        <v>129</v>
      </c>
      <c r="Q222" s="12" t="s">
        <v>130</v>
      </c>
    </row>
    <row r="223" spans="1:17" x14ac:dyDescent="0.25">
      <c r="A223" s="167" t="s">
        <v>2</v>
      </c>
      <c r="B223" s="167"/>
      <c r="C223" s="112" t="str">
        <f>VLOOKUP(C222,'MASTER AKUN'!$A$8:$C243,2,FALSE)</f>
        <v>NILAI BUKU KENDARAAN</v>
      </c>
      <c r="E223" s="8"/>
      <c r="F223" s="8"/>
      <c r="G223" s="8"/>
      <c r="H223" s="8"/>
      <c r="J223" s="27"/>
      <c r="K223" s="27"/>
      <c r="L223" s="115" t="s">
        <v>145</v>
      </c>
      <c r="M223" s="27"/>
      <c r="N223" s="29"/>
      <c r="O223" s="29"/>
      <c r="P223" s="29">
        <f>VLOOKUP(L218,'MASTER AKUN'!$A$8:$E$72,4,FALSE)</f>
        <v>0</v>
      </c>
      <c r="Q223" s="29">
        <f>VLOOKUP(L218,'MASTER AKUN'!$A$8:$E$72,5,FALSE)</f>
        <v>0</v>
      </c>
    </row>
    <row r="224" spans="1:17" x14ac:dyDescent="0.25">
      <c r="E224" s="8"/>
      <c r="F224" s="8"/>
      <c r="G224" s="8"/>
      <c r="H224" s="8"/>
      <c r="J224" s="27"/>
      <c r="K224" s="27"/>
      <c r="L224" s="116"/>
      <c r="M224" s="27"/>
      <c r="N224" s="29"/>
      <c r="O224" s="29"/>
      <c r="P224" s="29"/>
      <c r="Q224" s="29"/>
    </row>
    <row r="225" spans="1:17" x14ac:dyDescent="0.25">
      <c r="A225" s="160" t="s">
        <v>142</v>
      </c>
      <c r="B225" s="160" t="s">
        <v>127</v>
      </c>
      <c r="C225" s="169" t="s">
        <v>143</v>
      </c>
      <c r="D225" s="160" t="s">
        <v>128</v>
      </c>
      <c r="E225" s="162" t="s">
        <v>129</v>
      </c>
      <c r="F225" s="162" t="s">
        <v>130</v>
      </c>
      <c r="G225" s="160" t="s">
        <v>144</v>
      </c>
      <c r="H225" s="160"/>
      <c r="J225" s="27"/>
      <c r="K225" s="27"/>
      <c r="L225" s="116"/>
      <c r="M225" s="27"/>
      <c r="N225" s="29"/>
      <c r="O225" s="29"/>
      <c r="P225" s="29"/>
      <c r="Q225" s="29"/>
    </row>
    <row r="226" spans="1:17" x14ac:dyDescent="0.25">
      <c r="A226" s="160"/>
      <c r="B226" s="160"/>
      <c r="C226" s="169"/>
      <c r="D226" s="160"/>
      <c r="E226" s="162"/>
      <c r="F226" s="162"/>
      <c r="G226" s="12" t="s">
        <v>129</v>
      </c>
      <c r="H226" s="12" t="s">
        <v>130</v>
      </c>
      <c r="L226" s="112"/>
    </row>
    <row r="227" spans="1:17" x14ac:dyDescent="0.25">
      <c r="A227" s="27"/>
      <c r="B227" s="27"/>
      <c r="C227" s="115" t="s">
        <v>145</v>
      </c>
      <c r="D227" s="27"/>
      <c r="E227" s="29"/>
      <c r="F227" s="29"/>
      <c r="G227" s="29">
        <f>VLOOKUP(C222,'MASTER AKUN'!$A$8:$E$72,4,FALSE)</f>
        <v>0</v>
      </c>
      <c r="H227" s="29">
        <f>VLOOKUP(C222,'MASTER AKUN'!$A$8:$E$72,5,FALSE)</f>
        <v>0</v>
      </c>
      <c r="J227" s="167" t="s">
        <v>166</v>
      </c>
      <c r="K227" s="167"/>
      <c r="L227" s="112">
        <v>81001</v>
      </c>
      <c r="N227" s="8"/>
      <c r="O227" s="8"/>
      <c r="P227" s="8"/>
      <c r="Q227" s="8"/>
    </row>
    <row r="228" spans="1:17" x14ac:dyDescent="0.25">
      <c r="A228" s="27"/>
      <c r="B228" s="27"/>
      <c r="C228" s="116"/>
      <c r="D228" s="27"/>
      <c r="E228" s="29"/>
      <c r="F228" s="29"/>
      <c r="G228" s="29">
        <f>G227+E228-F228</f>
        <v>0</v>
      </c>
      <c r="H228" s="29">
        <f>H227-E228+F228-G228</f>
        <v>0</v>
      </c>
      <c r="J228" s="167" t="s">
        <v>2</v>
      </c>
      <c r="K228" s="167"/>
      <c r="L228" s="112" t="str">
        <f>VLOOKUP(L227,'MASTER AKUN'!$A$8:$C595,2,FALSE)</f>
        <v>Laba Penjualan Aktiva Tetap</v>
      </c>
      <c r="N228" s="8"/>
      <c r="O228" s="8"/>
      <c r="P228" s="8"/>
      <c r="Q228" s="8"/>
    </row>
    <row r="229" spans="1:17" x14ac:dyDescent="0.25">
      <c r="A229" s="27"/>
      <c r="B229" s="27"/>
      <c r="C229" s="116"/>
      <c r="D229" s="27"/>
      <c r="E229" s="29"/>
      <c r="F229" s="29"/>
      <c r="G229" s="29"/>
      <c r="H229" s="29"/>
      <c r="L229" s="112"/>
      <c r="N229" s="8"/>
      <c r="O229" s="8"/>
      <c r="P229" s="8"/>
      <c r="Q229" s="8"/>
    </row>
    <row r="230" spans="1:17" x14ac:dyDescent="0.25">
      <c r="J230" s="160" t="s">
        <v>142</v>
      </c>
      <c r="K230" s="160" t="s">
        <v>127</v>
      </c>
      <c r="L230" s="169" t="s">
        <v>143</v>
      </c>
      <c r="M230" s="160" t="s">
        <v>128</v>
      </c>
      <c r="N230" s="162" t="s">
        <v>129</v>
      </c>
      <c r="O230" s="162" t="s">
        <v>130</v>
      </c>
      <c r="P230" s="160" t="s">
        <v>144</v>
      </c>
      <c r="Q230" s="160"/>
    </row>
    <row r="231" spans="1:17" x14ac:dyDescent="0.25">
      <c r="A231" s="167" t="s">
        <v>166</v>
      </c>
      <c r="B231" s="167"/>
      <c r="C231" s="112">
        <v>12201</v>
      </c>
      <c r="E231" s="8"/>
      <c r="F231" s="8"/>
      <c r="G231" s="8"/>
      <c r="H231" s="8"/>
      <c r="J231" s="160"/>
      <c r="K231" s="160"/>
      <c r="L231" s="169"/>
      <c r="M231" s="160"/>
      <c r="N231" s="162"/>
      <c r="O231" s="162"/>
      <c r="P231" s="12" t="s">
        <v>129</v>
      </c>
      <c r="Q231" s="12" t="s">
        <v>130</v>
      </c>
    </row>
    <row r="232" spans="1:17" x14ac:dyDescent="0.25">
      <c r="A232" s="167" t="s">
        <v>2</v>
      </c>
      <c r="B232" s="167"/>
      <c r="C232" s="112" t="str">
        <f>VLOOKUP(C231,'MASTER AKUN'!$A$8:$C252,2,FALSE)</f>
        <v>Kendaraan</v>
      </c>
      <c r="E232" s="8"/>
      <c r="F232" s="8"/>
      <c r="G232" s="8"/>
      <c r="H232" s="8"/>
      <c r="J232" s="27"/>
      <c r="K232" s="27"/>
      <c r="L232" s="115" t="s">
        <v>145</v>
      </c>
      <c r="M232" s="27"/>
      <c r="N232" s="29"/>
      <c r="O232" s="29"/>
      <c r="P232" s="29">
        <f>VLOOKUP(L227,'MASTER AKUN'!$A$8:$E$72,4,FALSE)</f>
        <v>0</v>
      </c>
      <c r="Q232" s="29">
        <f>VLOOKUP(L227,'MASTER AKUN'!$A$8:$E$72,5,FALSE)</f>
        <v>0</v>
      </c>
    </row>
    <row r="233" spans="1:17" x14ac:dyDescent="0.25">
      <c r="E233" s="8"/>
      <c r="F233" s="8"/>
      <c r="G233" s="8"/>
      <c r="H233" s="8"/>
      <c r="J233" s="45">
        <v>38746</v>
      </c>
      <c r="K233" s="16" t="s">
        <v>179</v>
      </c>
      <c r="L233" s="116" t="s">
        <v>325</v>
      </c>
      <c r="M233" s="27"/>
      <c r="N233" s="29"/>
      <c r="O233" s="29">
        <f ca="1">SUMIF('JURNAL UMUM'!$A$96:H$96,'BUKU BESAR'!L227,'JURNAL UMUM'!$H$96)</f>
        <v>1000000</v>
      </c>
      <c r="P233" s="29"/>
      <c r="Q233" s="29">
        <f t="shared" ref="Q233" ca="1" si="24">IF(Q232+O233&gt;P232+N233,(Q232+O233)-(P232+N233),0)</f>
        <v>1000000</v>
      </c>
    </row>
    <row r="234" spans="1:17" x14ac:dyDescent="0.25">
      <c r="A234" s="160" t="s">
        <v>142</v>
      </c>
      <c r="B234" s="160" t="s">
        <v>127</v>
      </c>
      <c r="C234" s="169" t="s">
        <v>143</v>
      </c>
      <c r="D234" s="160" t="s">
        <v>128</v>
      </c>
      <c r="E234" s="162" t="s">
        <v>129</v>
      </c>
      <c r="F234" s="162" t="s">
        <v>130</v>
      </c>
      <c r="G234" s="160" t="s">
        <v>144</v>
      </c>
      <c r="H234" s="160"/>
      <c r="J234" s="27"/>
      <c r="K234" s="27"/>
      <c r="L234" s="116"/>
      <c r="M234" s="27"/>
      <c r="N234" s="29"/>
      <c r="O234" s="29"/>
      <c r="P234" s="29"/>
      <c r="Q234" s="29"/>
    </row>
    <row r="235" spans="1:17" x14ac:dyDescent="0.25">
      <c r="A235" s="160"/>
      <c r="B235" s="160"/>
      <c r="C235" s="169"/>
      <c r="D235" s="160"/>
      <c r="E235" s="162"/>
      <c r="F235" s="162"/>
      <c r="G235" s="12" t="s">
        <v>129</v>
      </c>
      <c r="H235" s="12" t="s">
        <v>130</v>
      </c>
      <c r="L235" s="112"/>
    </row>
    <row r="236" spans="1:17" x14ac:dyDescent="0.25">
      <c r="A236" s="27"/>
      <c r="B236" s="27"/>
      <c r="C236" s="115" t="s">
        <v>145</v>
      </c>
      <c r="D236" s="27"/>
      <c r="E236" s="29"/>
      <c r="F236" s="29"/>
      <c r="G236" s="29">
        <f>VLOOKUP(C231,'MASTER AKUN'!$A$8:$E$72,4,FALSE)</f>
        <v>45000000</v>
      </c>
      <c r="H236" s="29">
        <f>VLOOKUP(C231,'MASTER AKUN'!$A$8:$E$72,5,FALSE)</f>
        <v>0</v>
      </c>
      <c r="J236" s="167" t="s">
        <v>166</v>
      </c>
      <c r="K236" s="167"/>
      <c r="L236" s="112">
        <v>81002</v>
      </c>
      <c r="N236" s="8"/>
      <c r="O236" s="8"/>
      <c r="P236" s="8"/>
      <c r="Q236" s="8"/>
    </row>
    <row r="237" spans="1:17" x14ac:dyDescent="0.25">
      <c r="A237" s="45">
        <v>38738</v>
      </c>
      <c r="B237" s="16" t="s">
        <v>171</v>
      </c>
      <c r="C237" s="116" t="s">
        <v>297</v>
      </c>
      <c r="D237" s="27"/>
      <c r="E237" s="29">
        <f ca="1">SUMIF('JURNAL UMUM'!$A$53:$H$53,'BUKU BESAR'!C231,'JURNAL UMUM'!$G$53)</f>
        <v>11500000</v>
      </c>
      <c r="F237" s="29"/>
      <c r="G237" s="29">
        <f t="shared" ref="G237:G238" ca="1" si="25">IF(G236+E237&gt;H236+F237,(G236+E237)-(H236+F237),0)</f>
        <v>56500000</v>
      </c>
      <c r="H237" s="29"/>
      <c r="J237" s="167" t="s">
        <v>2</v>
      </c>
      <c r="K237" s="167"/>
      <c r="L237" s="112" t="str">
        <f>VLOOKUP(L236,'MASTER AKUN'!$A$8:$C604,2,FALSE)</f>
        <v>Pendapatan Jasa Giro</v>
      </c>
      <c r="N237" s="8"/>
      <c r="O237" s="8"/>
      <c r="P237" s="8"/>
      <c r="Q237" s="8"/>
    </row>
    <row r="238" spans="1:17" x14ac:dyDescent="0.25">
      <c r="A238" s="45">
        <v>38746</v>
      </c>
      <c r="B238" s="16" t="s">
        <v>179</v>
      </c>
      <c r="C238" s="116" t="s">
        <v>298</v>
      </c>
      <c r="D238" s="27"/>
      <c r="E238" s="29"/>
      <c r="F238" s="29">
        <f ca="1">SUMIF('JURNAL UMUM'!$A$95:H$95,'BUKU BESAR'!C231,'JURNAL UMUM'!$H$95:$H$95)</f>
        <v>6000000</v>
      </c>
      <c r="G238" s="29">
        <f t="shared" ca="1" si="25"/>
        <v>50500000</v>
      </c>
      <c r="H238" s="29"/>
      <c r="L238" s="112"/>
      <c r="N238" s="8"/>
      <c r="O238" s="8"/>
      <c r="P238" s="8"/>
      <c r="Q238" s="8"/>
    </row>
    <row r="239" spans="1:17" x14ac:dyDescent="0.25">
      <c r="J239" s="160" t="s">
        <v>142</v>
      </c>
      <c r="K239" s="160" t="s">
        <v>127</v>
      </c>
      <c r="L239" s="169" t="s">
        <v>143</v>
      </c>
      <c r="M239" s="160" t="s">
        <v>128</v>
      </c>
      <c r="N239" s="162" t="s">
        <v>129</v>
      </c>
      <c r="O239" s="162" t="s">
        <v>130</v>
      </c>
      <c r="P239" s="160" t="s">
        <v>144</v>
      </c>
      <c r="Q239" s="160"/>
    </row>
    <row r="240" spans="1:17" x14ac:dyDescent="0.25">
      <c r="A240" s="167" t="s">
        <v>166</v>
      </c>
      <c r="B240" s="167"/>
      <c r="C240" s="112">
        <v>12202</v>
      </c>
      <c r="E240" s="8"/>
      <c r="F240" s="8"/>
      <c r="G240" s="8"/>
      <c r="H240" s="8"/>
      <c r="J240" s="160"/>
      <c r="K240" s="160"/>
      <c r="L240" s="169"/>
      <c r="M240" s="160"/>
      <c r="N240" s="162"/>
      <c r="O240" s="162"/>
      <c r="P240" s="12" t="s">
        <v>129</v>
      </c>
      <c r="Q240" s="12" t="s">
        <v>130</v>
      </c>
    </row>
    <row r="241" spans="1:17" x14ac:dyDescent="0.25">
      <c r="A241" s="167" t="s">
        <v>2</v>
      </c>
      <c r="B241" s="167"/>
      <c r="C241" s="112" t="str">
        <f>VLOOKUP(C240,'MASTER AKUN'!$A$8:$C261,2,FALSE)</f>
        <v>Akumulasi Penyusutan Kendaraan</v>
      </c>
      <c r="E241" s="8"/>
      <c r="F241" s="8"/>
      <c r="G241" s="8"/>
      <c r="H241" s="8"/>
      <c r="J241" s="27"/>
      <c r="K241" s="27"/>
      <c r="L241" s="115" t="s">
        <v>145</v>
      </c>
      <c r="M241" s="27"/>
      <c r="N241" s="29"/>
      <c r="O241" s="29"/>
      <c r="P241" s="29">
        <f>VLOOKUP(L236,'MASTER AKUN'!$A$8:$E$72,4,FALSE)</f>
        <v>0</v>
      </c>
      <c r="Q241" s="29">
        <f>VLOOKUP(L236,'MASTER AKUN'!$A$8:$E$72,5,FALSE)</f>
        <v>0</v>
      </c>
    </row>
    <row r="242" spans="1:17" x14ac:dyDescent="0.25">
      <c r="E242" s="8"/>
      <c r="F242" s="8"/>
      <c r="G242" s="8"/>
      <c r="H242" s="8"/>
      <c r="J242" s="45">
        <v>38748</v>
      </c>
      <c r="K242" s="16" t="s">
        <v>186</v>
      </c>
      <c r="L242" s="116" t="s">
        <v>326</v>
      </c>
      <c r="M242" s="27"/>
      <c r="N242" s="29"/>
      <c r="O242" s="29">
        <f ca="1">SUMIF('JURNAL UMUM'!$A$119:H$119,'BUKU BESAR'!L236,'JURNAL UMUM'!$H$119)</f>
        <v>1350000</v>
      </c>
      <c r="P242" s="29"/>
      <c r="Q242" s="29">
        <f t="shared" ref="Q242" ca="1" si="26">IF(Q241+O242&gt;P241+N242,(Q241+O242)-(P241+N242),0)</f>
        <v>1350000</v>
      </c>
    </row>
    <row r="243" spans="1:17" x14ac:dyDescent="0.25">
      <c r="A243" s="160" t="s">
        <v>142</v>
      </c>
      <c r="B243" s="160" t="s">
        <v>127</v>
      </c>
      <c r="C243" s="169" t="s">
        <v>143</v>
      </c>
      <c r="D243" s="160" t="s">
        <v>128</v>
      </c>
      <c r="E243" s="162" t="s">
        <v>129</v>
      </c>
      <c r="F243" s="162" t="s">
        <v>130</v>
      </c>
      <c r="G243" s="160" t="s">
        <v>144</v>
      </c>
      <c r="H243" s="160"/>
      <c r="J243" s="27"/>
      <c r="K243" s="27"/>
      <c r="L243" s="116"/>
      <c r="M243" s="27"/>
      <c r="N243" s="29"/>
      <c r="O243" s="29"/>
      <c r="P243" s="29"/>
      <c r="Q243" s="29"/>
    </row>
    <row r="244" spans="1:17" x14ac:dyDescent="0.25">
      <c r="A244" s="160"/>
      <c r="B244" s="160"/>
      <c r="C244" s="169"/>
      <c r="D244" s="160"/>
      <c r="E244" s="162"/>
      <c r="F244" s="162"/>
      <c r="G244" s="12" t="s">
        <v>129</v>
      </c>
      <c r="H244" s="12" t="s">
        <v>130</v>
      </c>
      <c r="L244" s="112"/>
    </row>
    <row r="245" spans="1:17" x14ac:dyDescent="0.25">
      <c r="A245" s="27"/>
      <c r="B245" s="27"/>
      <c r="C245" s="115" t="s">
        <v>145</v>
      </c>
      <c r="D245" s="27"/>
      <c r="E245" s="29"/>
      <c r="F245" s="29"/>
      <c r="G245" s="29">
        <f>VLOOKUP(C240,'MASTER AKUN'!$A$8:$E$72,4,FALSE)</f>
        <v>0</v>
      </c>
      <c r="H245" s="29">
        <f>VLOOKUP(C240,'MASTER AKUN'!$A$8:$E$72,5,FALSE)</f>
        <v>25000000</v>
      </c>
      <c r="J245" s="167" t="s">
        <v>166</v>
      </c>
      <c r="K245" s="167"/>
      <c r="L245" s="112">
        <v>90000</v>
      </c>
      <c r="N245" s="8"/>
      <c r="O245" s="8"/>
      <c r="P245" s="8"/>
      <c r="Q245" s="8"/>
    </row>
    <row r="246" spans="1:17" x14ac:dyDescent="0.25">
      <c r="A246" s="45">
        <v>38746</v>
      </c>
      <c r="B246" s="16" t="s">
        <v>179</v>
      </c>
      <c r="C246" s="116" t="s">
        <v>296</v>
      </c>
      <c r="D246" s="27"/>
      <c r="E246" s="29">
        <f ca="1">SUMIF('JURNAL UMUM'!$A$94:$H$94,'BUKU BESAR'!C240,'JURNAL UMUM'!$G$94)</f>
        <v>1500000</v>
      </c>
      <c r="F246" s="29"/>
      <c r="G246" s="29"/>
      <c r="H246" s="29">
        <f ca="1">IF(H245+F246&gt;G245+E246,(H245+F246)-(G245+E246),0)</f>
        <v>23500000</v>
      </c>
      <c r="J246" s="167" t="s">
        <v>2</v>
      </c>
      <c r="K246" s="167"/>
      <c r="L246" s="112" t="str">
        <f>VLOOKUP(L245,'MASTER AKUN'!$A$8:$C613,2,FALSE)</f>
        <v>BEBAN LUAR USAHA</v>
      </c>
      <c r="N246" s="8"/>
      <c r="O246" s="8"/>
      <c r="P246" s="8"/>
      <c r="Q246" s="8"/>
    </row>
    <row r="247" spans="1:17" x14ac:dyDescent="0.25">
      <c r="A247" s="45">
        <v>38748</v>
      </c>
      <c r="B247" s="16" t="s">
        <v>183</v>
      </c>
      <c r="C247" s="116" t="s">
        <v>296</v>
      </c>
      <c r="D247" s="27"/>
      <c r="E247" s="29"/>
      <c r="F247" s="29">
        <f ca="1">SUMIF('JURNAL UMUM'!$A$112:H$112,'BUKU BESAR'!C240,'JURNAL UMUM'!$H$112:$H$112)</f>
        <v>500000</v>
      </c>
      <c r="G247" s="29"/>
      <c r="H247" s="29">
        <f ca="1">IF(H246+F247&gt;G246+E247,(H246+F247)-(G246+E247),0)</f>
        <v>24000000</v>
      </c>
      <c r="L247" s="112"/>
      <c r="N247" s="8"/>
      <c r="O247" s="8"/>
      <c r="P247" s="8"/>
      <c r="Q247" s="8"/>
    </row>
    <row r="248" spans="1:17" x14ac:dyDescent="0.25">
      <c r="J248" s="160" t="s">
        <v>142</v>
      </c>
      <c r="K248" s="160" t="s">
        <v>127</v>
      </c>
      <c r="L248" s="169" t="s">
        <v>143</v>
      </c>
      <c r="M248" s="160" t="s">
        <v>128</v>
      </c>
      <c r="N248" s="162" t="s">
        <v>129</v>
      </c>
      <c r="O248" s="162" t="s">
        <v>130</v>
      </c>
      <c r="P248" s="160" t="s">
        <v>144</v>
      </c>
      <c r="Q248" s="160"/>
    </row>
    <row r="249" spans="1:17" x14ac:dyDescent="0.25">
      <c r="A249" s="167" t="s">
        <v>166</v>
      </c>
      <c r="B249" s="167"/>
      <c r="C249" s="112">
        <v>20000</v>
      </c>
      <c r="E249" s="8"/>
      <c r="F249" s="8"/>
      <c r="G249" s="8"/>
      <c r="H249" s="8"/>
      <c r="J249" s="160"/>
      <c r="K249" s="160"/>
      <c r="L249" s="169"/>
      <c r="M249" s="160"/>
      <c r="N249" s="162"/>
      <c r="O249" s="162"/>
      <c r="P249" s="12" t="s">
        <v>129</v>
      </c>
      <c r="Q249" s="12" t="s">
        <v>130</v>
      </c>
    </row>
    <row r="250" spans="1:17" x14ac:dyDescent="0.25">
      <c r="A250" s="167" t="s">
        <v>2</v>
      </c>
      <c r="B250" s="167"/>
      <c r="C250" s="112" t="str">
        <f>VLOOKUP(C249,'MASTER AKUN'!$A$8:$C270,2,FALSE)</f>
        <v>KEWAJIBAN</v>
      </c>
      <c r="E250" s="8"/>
      <c r="F250" s="8"/>
      <c r="G250" s="8"/>
      <c r="H250" s="8"/>
      <c r="J250" s="27"/>
      <c r="K250" s="27"/>
      <c r="L250" s="115" t="s">
        <v>145</v>
      </c>
      <c r="M250" s="27"/>
      <c r="N250" s="29"/>
      <c r="O250" s="29"/>
      <c r="P250" s="29">
        <f>VLOOKUP(L245,'MASTER AKUN'!$A$8:$E$72,4,FALSE)</f>
        <v>0</v>
      </c>
      <c r="Q250" s="29">
        <f>VLOOKUP(L245,'MASTER AKUN'!$A$8:$E$72,5,FALSE)</f>
        <v>0</v>
      </c>
    </row>
    <row r="251" spans="1:17" x14ac:dyDescent="0.25">
      <c r="E251" s="8"/>
      <c r="F251" s="8"/>
      <c r="G251" s="8"/>
      <c r="H251" s="8"/>
      <c r="J251" s="27"/>
      <c r="K251" s="27"/>
      <c r="L251" s="116"/>
      <c r="M251" s="27"/>
      <c r="N251" s="29"/>
      <c r="O251" s="29"/>
      <c r="P251" s="29"/>
      <c r="Q251" s="29"/>
    </row>
    <row r="252" spans="1:17" x14ac:dyDescent="0.25">
      <c r="A252" s="160" t="s">
        <v>142</v>
      </c>
      <c r="B252" s="160" t="s">
        <v>127</v>
      </c>
      <c r="C252" s="169" t="s">
        <v>143</v>
      </c>
      <c r="D252" s="160" t="s">
        <v>128</v>
      </c>
      <c r="E252" s="162" t="s">
        <v>129</v>
      </c>
      <c r="F252" s="162" t="s">
        <v>130</v>
      </c>
      <c r="G252" s="160" t="s">
        <v>144</v>
      </c>
      <c r="H252" s="160"/>
      <c r="J252" s="27"/>
      <c r="K252" s="27"/>
      <c r="L252" s="116"/>
      <c r="M252" s="27"/>
      <c r="N252" s="29"/>
      <c r="O252" s="29"/>
      <c r="P252" s="29"/>
      <c r="Q252" s="29"/>
    </row>
    <row r="253" spans="1:17" x14ac:dyDescent="0.25">
      <c r="A253" s="160"/>
      <c r="B253" s="160"/>
      <c r="C253" s="169"/>
      <c r="D253" s="160"/>
      <c r="E253" s="162"/>
      <c r="F253" s="162"/>
      <c r="G253" s="12" t="s">
        <v>129</v>
      </c>
      <c r="H253" s="12" t="s">
        <v>130</v>
      </c>
      <c r="L253" s="112"/>
    </row>
    <row r="254" spans="1:17" x14ac:dyDescent="0.25">
      <c r="A254" s="27"/>
      <c r="B254" s="27"/>
      <c r="C254" s="115" t="s">
        <v>145</v>
      </c>
      <c r="D254" s="27"/>
      <c r="E254" s="29"/>
      <c r="F254" s="29"/>
      <c r="G254" s="29">
        <f>VLOOKUP(C249,'MASTER AKUN'!$A$8:$E$72,4,FALSE)</f>
        <v>0</v>
      </c>
      <c r="H254" s="29">
        <f>VLOOKUP(C249,'MASTER AKUN'!$A$8:$E$72,5,FALSE)</f>
        <v>0</v>
      </c>
      <c r="J254" s="167" t="s">
        <v>166</v>
      </c>
      <c r="K254" s="167"/>
      <c r="L254" s="112">
        <v>91001</v>
      </c>
      <c r="N254" s="8"/>
      <c r="O254" s="8"/>
      <c r="P254" s="8"/>
      <c r="Q254" s="8"/>
    </row>
    <row r="255" spans="1:17" x14ac:dyDescent="0.25">
      <c r="A255" s="27"/>
      <c r="B255" s="27"/>
      <c r="C255" s="116"/>
      <c r="D255" s="27"/>
      <c r="E255" s="29"/>
      <c r="F255" s="29"/>
      <c r="G255" s="29"/>
      <c r="H255" s="29"/>
      <c r="J255" s="167" t="s">
        <v>2</v>
      </c>
      <c r="K255" s="167"/>
      <c r="L255" s="112" t="str">
        <f>VLOOKUP(L254,'MASTER AKUN'!$A$8:$C622,2,FALSE)</f>
        <v>Beban Administrasi Bank</v>
      </c>
      <c r="N255" s="8"/>
      <c r="O255" s="8"/>
      <c r="P255" s="8"/>
      <c r="Q255" s="8"/>
    </row>
    <row r="256" spans="1:17" x14ac:dyDescent="0.25">
      <c r="A256" s="27"/>
      <c r="B256" s="27"/>
      <c r="C256" s="116"/>
      <c r="D256" s="27"/>
      <c r="E256" s="29"/>
      <c r="F256" s="29"/>
      <c r="G256" s="29"/>
      <c r="H256" s="29"/>
      <c r="L256" s="112"/>
      <c r="N256" s="8"/>
      <c r="O256" s="8"/>
      <c r="P256" s="8"/>
      <c r="Q256" s="8"/>
    </row>
    <row r="257" spans="1:17" x14ac:dyDescent="0.25">
      <c r="J257" s="160" t="s">
        <v>142</v>
      </c>
      <c r="K257" s="160" t="s">
        <v>127</v>
      </c>
      <c r="L257" s="169" t="s">
        <v>143</v>
      </c>
      <c r="M257" s="160" t="s">
        <v>128</v>
      </c>
      <c r="N257" s="162" t="s">
        <v>129</v>
      </c>
      <c r="O257" s="162" t="s">
        <v>130</v>
      </c>
      <c r="P257" s="160" t="s">
        <v>144</v>
      </c>
      <c r="Q257" s="160"/>
    </row>
    <row r="258" spans="1:17" x14ac:dyDescent="0.25">
      <c r="A258" s="167" t="s">
        <v>166</v>
      </c>
      <c r="B258" s="167"/>
      <c r="C258" s="112">
        <v>21000</v>
      </c>
      <c r="E258" s="8"/>
      <c r="F258" s="8"/>
      <c r="G258" s="8"/>
      <c r="H258" s="8"/>
      <c r="J258" s="160"/>
      <c r="K258" s="160"/>
      <c r="L258" s="169"/>
      <c r="M258" s="160"/>
      <c r="N258" s="162"/>
      <c r="O258" s="162"/>
      <c r="P258" s="12" t="s">
        <v>129</v>
      </c>
      <c r="Q258" s="12" t="s">
        <v>130</v>
      </c>
    </row>
    <row r="259" spans="1:17" x14ac:dyDescent="0.25">
      <c r="A259" s="167" t="s">
        <v>2</v>
      </c>
      <c r="B259" s="167"/>
      <c r="C259" s="112" t="str">
        <f>VLOOKUP(C258,'MASTER AKUN'!$A$8:$C279,2,FALSE)</f>
        <v>KEWAJIBAN LANCAR</v>
      </c>
      <c r="E259" s="8"/>
      <c r="F259" s="8"/>
      <c r="G259" s="8"/>
      <c r="H259" s="8"/>
      <c r="J259" s="27"/>
      <c r="K259" s="27"/>
      <c r="L259" s="115" t="s">
        <v>145</v>
      </c>
      <c r="M259" s="27"/>
      <c r="N259" s="29"/>
      <c r="O259" s="29"/>
      <c r="P259" s="29">
        <f>VLOOKUP(L254,'MASTER AKUN'!$A$8:$E$72,4,FALSE)</f>
        <v>0</v>
      </c>
      <c r="Q259" s="29">
        <f>VLOOKUP(L254,'MASTER AKUN'!$A$8:$E$72,5,FALSE)</f>
        <v>0</v>
      </c>
    </row>
    <row r="260" spans="1:17" x14ac:dyDescent="0.25">
      <c r="E260" s="8"/>
      <c r="F260" s="8"/>
      <c r="G260" s="8"/>
      <c r="H260" s="8"/>
      <c r="J260" s="45">
        <v>38748</v>
      </c>
      <c r="K260" s="16" t="s">
        <v>186</v>
      </c>
      <c r="L260" s="116" t="s">
        <v>327</v>
      </c>
      <c r="M260" s="27"/>
      <c r="N260" s="29">
        <f ca="1">SUMIF('JURNAL UMUM'!$A$117:$H$117,L254,'JURNAL UMUM'!$G$117)</f>
        <v>150000</v>
      </c>
      <c r="O260" s="29"/>
      <c r="P260" s="29">
        <f t="shared" ref="P260" ca="1" si="27">IF(P259+N260&gt;Q259+O260,(P259+N260)-(Q259+O260),0)</f>
        <v>150000</v>
      </c>
      <c r="Q260" s="29"/>
    </row>
    <row r="261" spans="1:17" x14ac:dyDescent="0.25">
      <c r="A261" s="160" t="s">
        <v>142</v>
      </c>
      <c r="B261" s="160" t="s">
        <v>127</v>
      </c>
      <c r="C261" s="169" t="s">
        <v>143</v>
      </c>
      <c r="D261" s="160" t="s">
        <v>128</v>
      </c>
      <c r="E261" s="162" t="s">
        <v>129</v>
      </c>
      <c r="F261" s="162" t="s">
        <v>130</v>
      </c>
      <c r="G261" s="160" t="s">
        <v>144</v>
      </c>
      <c r="H261" s="160"/>
      <c r="J261" s="27"/>
      <c r="K261" s="27"/>
      <c r="L261" s="116"/>
      <c r="M261" s="27"/>
      <c r="N261" s="29"/>
      <c r="O261" s="29"/>
      <c r="P261" s="29"/>
      <c r="Q261" s="29"/>
    </row>
    <row r="262" spans="1:17" x14ac:dyDescent="0.25">
      <c r="A262" s="160"/>
      <c r="B262" s="160"/>
      <c r="C262" s="169"/>
      <c r="D262" s="160"/>
      <c r="E262" s="162"/>
      <c r="F262" s="162"/>
      <c r="G262" s="12" t="s">
        <v>129</v>
      </c>
      <c r="H262" s="12" t="s">
        <v>130</v>
      </c>
      <c r="L262" s="112"/>
    </row>
    <row r="263" spans="1:17" x14ac:dyDescent="0.25">
      <c r="A263" s="27"/>
      <c r="B263" s="27"/>
      <c r="C263" s="115" t="s">
        <v>145</v>
      </c>
      <c r="D263" s="27"/>
      <c r="E263" s="29"/>
      <c r="F263" s="29"/>
      <c r="G263" s="29">
        <f>VLOOKUP(C258,'MASTER AKUN'!$A$8:$E$72,4,FALSE)</f>
        <v>0</v>
      </c>
      <c r="H263" s="29">
        <f>VLOOKUP(C258,'MASTER AKUN'!$A$8:$E$72,5,FALSE)</f>
        <v>0</v>
      </c>
      <c r="J263" s="167" t="s">
        <v>166</v>
      </c>
      <c r="K263" s="167"/>
      <c r="L263" s="112">
        <v>91002</v>
      </c>
      <c r="N263" s="8"/>
      <c r="O263" s="8"/>
      <c r="P263" s="8"/>
      <c r="Q263" s="8"/>
    </row>
    <row r="264" spans="1:17" x14ac:dyDescent="0.25">
      <c r="A264" s="27"/>
      <c r="B264" s="27"/>
      <c r="C264" s="116"/>
      <c r="D264" s="27"/>
      <c r="E264" s="29"/>
      <c r="F264" s="29"/>
      <c r="G264" s="29"/>
      <c r="H264" s="29"/>
      <c r="J264" s="167" t="s">
        <v>2</v>
      </c>
      <c r="K264" s="167"/>
      <c r="L264" s="112" t="str">
        <f>VLOOKUP(L263,'MASTER AKUN'!$A$8:$C631,2,FALSE)</f>
        <v>Beban Bunga</v>
      </c>
      <c r="N264" s="8"/>
      <c r="O264" s="8"/>
      <c r="P264" s="8"/>
      <c r="Q264" s="8"/>
    </row>
    <row r="265" spans="1:17" x14ac:dyDescent="0.25">
      <c r="A265" s="27"/>
      <c r="B265" s="27"/>
      <c r="C265" s="116"/>
      <c r="D265" s="27"/>
      <c r="E265" s="29"/>
      <c r="F265" s="29"/>
      <c r="G265" s="29"/>
      <c r="H265" s="29"/>
      <c r="L265" s="112"/>
      <c r="N265" s="8"/>
      <c r="O265" s="8"/>
      <c r="P265" s="8"/>
      <c r="Q265" s="8"/>
    </row>
    <row r="266" spans="1:17" x14ac:dyDescent="0.25">
      <c r="J266" s="160" t="s">
        <v>142</v>
      </c>
      <c r="K266" s="160" t="s">
        <v>127</v>
      </c>
      <c r="L266" s="169" t="s">
        <v>143</v>
      </c>
      <c r="M266" s="160" t="s">
        <v>128</v>
      </c>
      <c r="N266" s="162" t="s">
        <v>129</v>
      </c>
      <c r="O266" s="162" t="s">
        <v>130</v>
      </c>
      <c r="P266" s="160" t="s">
        <v>144</v>
      </c>
      <c r="Q266" s="160"/>
    </row>
    <row r="267" spans="1:17" x14ac:dyDescent="0.25">
      <c r="A267" s="167" t="s">
        <v>166</v>
      </c>
      <c r="B267" s="167"/>
      <c r="C267" s="112">
        <v>21100</v>
      </c>
      <c r="E267" s="8"/>
      <c r="F267" s="8"/>
      <c r="G267" s="8"/>
      <c r="H267" s="8"/>
      <c r="J267" s="160"/>
      <c r="K267" s="160"/>
      <c r="L267" s="169"/>
      <c r="M267" s="160"/>
      <c r="N267" s="162"/>
      <c r="O267" s="162"/>
      <c r="P267" s="12" t="s">
        <v>129</v>
      </c>
      <c r="Q267" s="12" t="s">
        <v>130</v>
      </c>
    </row>
    <row r="268" spans="1:17" x14ac:dyDescent="0.25">
      <c r="A268" s="167" t="s">
        <v>2</v>
      </c>
      <c r="B268" s="167"/>
      <c r="C268" s="112" t="str">
        <f>VLOOKUP(C267,'MASTER AKUN'!$A$8:$C288,2,FALSE)</f>
        <v>Hutang Usaha</v>
      </c>
      <c r="E268" s="8"/>
      <c r="F268" s="8"/>
      <c r="G268" s="8"/>
      <c r="H268" s="8"/>
      <c r="J268" s="27"/>
      <c r="K268" s="27"/>
      <c r="L268" s="115" t="s">
        <v>145</v>
      </c>
      <c r="M268" s="27"/>
      <c r="N268" s="29"/>
      <c r="O268" s="29"/>
      <c r="P268" s="29">
        <f>VLOOKUP(L263,'MASTER AKUN'!$A$8:$E$72,4,FALSE)</f>
        <v>0</v>
      </c>
      <c r="Q268" s="29">
        <f>VLOOKUP(L263,'MASTER AKUN'!$A$8:$E$72,5,FALSE)</f>
        <v>0</v>
      </c>
    </row>
    <row r="269" spans="1:17" x14ac:dyDescent="0.25">
      <c r="E269" s="8"/>
      <c r="F269" s="8"/>
      <c r="G269" s="8"/>
      <c r="H269" s="8"/>
      <c r="J269" s="45">
        <v>38748</v>
      </c>
      <c r="K269" s="16" t="s">
        <v>184</v>
      </c>
      <c r="L269" s="116" t="s">
        <v>328</v>
      </c>
      <c r="M269" s="27"/>
      <c r="N269" s="29">
        <f ca="1">SUMIF('JURNAL UMUM'!$A$113:$H$113,L263,'JURNAL UMUM'!$G$113)</f>
        <v>1500000</v>
      </c>
      <c r="O269" s="29"/>
      <c r="P269" s="29">
        <f t="shared" ref="P269" ca="1" si="28">IF(P268+N269&gt;Q268+O269,(P268+N269)-(Q268+O269),0)</f>
        <v>1500000</v>
      </c>
      <c r="Q269" s="29"/>
    </row>
    <row r="270" spans="1:17" x14ac:dyDescent="0.25">
      <c r="A270" s="160" t="s">
        <v>142</v>
      </c>
      <c r="B270" s="160" t="s">
        <v>127</v>
      </c>
      <c r="C270" s="169" t="s">
        <v>143</v>
      </c>
      <c r="D270" s="160" t="s">
        <v>128</v>
      </c>
      <c r="E270" s="162" t="s">
        <v>129</v>
      </c>
      <c r="F270" s="162" t="s">
        <v>130</v>
      </c>
      <c r="G270" s="160" t="s">
        <v>144</v>
      </c>
      <c r="H270" s="160"/>
      <c r="J270" s="27"/>
      <c r="K270" s="27"/>
      <c r="L270" s="116"/>
      <c r="M270" s="27"/>
      <c r="N270" s="29"/>
      <c r="O270" s="29"/>
      <c r="P270" s="29"/>
      <c r="Q270" s="29"/>
    </row>
    <row r="271" spans="1:17" x14ac:dyDescent="0.25">
      <c r="A271" s="160"/>
      <c r="B271" s="160"/>
      <c r="C271" s="169"/>
      <c r="D271" s="160"/>
      <c r="E271" s="162"/>
      <c r="F271" s="162"/>
      <c r="G271" s="12" t="s">
        <v>129</v>
      </c>
      <c r="H271" s="12" t="s">
        <v>130</v>
      </c>
    </row>
    <row r="272" spans="1:17" x14ac:dyDescent="0.25">
      <c r="A272" s="27"/>
      <c r="B272" s="27"/>
      <c r="C272" s="115" t="s">
        <v>145</v>
      </c>
      <c r="D272" s="27"/>
      <c r="E272" s="29"/>
      <c r="F272" s="29"/>
      <c r="G272" s="29">
        <f>VLOOKUP(C267,'MASTER AKUN'!$A$8:$E$72,4,FALSE)</f>
        <v>0</v>
      </c>
      <c r="H272" s="29">
        <f>VLOOKUP(C267,'MASTER AKUN'!$A$8:$E$72,5,FALSE)</f>
        <v>75000000</v>
      </c>
    </row>
    <row r="273" spans="1:8" x14ac:dyDescent="0.25">
      <c r="A273" s="45">
        <v>38719</v>
      </c>
      <c r="B273" s="16" t="s">
        <v>156</v>
      </c>
      <c r="C273" s="116" t="s">
        <v>299</v>
      </c>
      <c r="D273" s="27"/>
      <c r="E273" s="29">
        <f ca="1">SUMIF('JURNAL UMUM'!$A$11:$H$11,'BUKU BESAR'!C267,'JURNAL UMUM'!$G$11)</f>
        <v>24000000</v>
      </c>
      <c r="F273" s="29"/>
      <c r="G273" s="29"/>
      <c r="H273" s="29">
        <f ca="1">IF(H272+F273&gt;G272+E273,(H272+F273)-(G272+E273),0)</f>
        <v>51000000</v>
      </c>
    </row>
    <row r="274" spans="1:8" x14ac:dyDescent="0.25">
      <c r="A274" s="43">
        <v>38721</v>
      </c>
      <c r="B274" s="2" t="s">
        <v>159</v>
      </c>
      <c r="C274" s="116" t="s">
        <v>300</v>
      </c>
      <c r="D274" s="27"/>
      <c r="E274" s="29"/>
      <c r="F274" s="29">
        <f ca="1">SUMIF('JURNAL UMUM'!$A$26:H$26,'BUKU BESAR'!C267,'JURNAL UMUM'!$H$26:$H$26)</f>
        <v>17925000</v>
      </c>
      <c r="G274" s="29"/>
      <c r="H274" s="29">
        <f t="shared" ref="H274:H276" ca="1" si="29">IF(H273+F274&gt;G273+E274,(H273+F274)-(G273+E274),0)</f>
        <v>68925000</v>
      </c>
    </row>
    <row r="275" spans="1:8" x14ac:dyDescent="0.25">
      <c r="A275" s="43">
        <v>38723</v>
      </c>
      <c r="B275" s="2" t="s">
        <v>160</v>
      </c>
      <c r="C275" s="116" t="s">
        <v>299</v>
      </c>
      <c r="D275" s="27"/>
      <c r="E275" s="29">
        <f ca="1">SUMIF('JURNAL UMUM'!$A$28:$H$28,'BUKU BESAR'!C267,'JURNAL UMUM'!$G$28)</f>
        <v>357500</v>
      </c>
      <c r="F275" s="29"/>
      <c r="G275" s="29"/>
      <c r="H275" s="29">
        <f t="shared" ca="1" si="29"/>
        <v>68567500</v>
      </c>
    </row>
    <row r="276" spans="1:8" x14ac:dyDescent="0.25">
      <c r="A276" s="43">
        <v>38745</v>
      </c>
      <c r="B276" s="2" t="s">
        <v>177</v>
      </c>
      <c r="C276" s="117" t="s">
        <v>299</v>
      </c>
      <c r="D276" s="2"/>
      <c r="E276" s="29">
        <f ca="1">SUMIF('JURNAL UMUM'!$A$85:$H$85,'BUKU BESAR'!C267,'JURNAL UMUM'!$G$85)</f>
        <v>22000000</v>
      </c>
      <c r="F276" s="2"/>
      <c r="G276" s="2"/>
      <c r="H276" s="29">
        <f t="shared" ca="1" si="29"/>
        <v>46567500</v>
      </c>
    </row>
    <row r="277" spans="1:8" x14ac:dyDescent="0.25">
      <c r="A277" s="57"/>
      <c r="B277" s="42"/>
      <c r="E277" s="56"/>
    </row>
    <row r="278" spans="1:8" x14ac:dyDescent="0.25">
      <c r="A278" s="57"/>
      <c r="B278" s="42"/>
      <c r="E278" s="56"/>
    </row>
    <row r="279" spans="1:8" x14ac:dyDescent="0.25">
      <c r="A279" s="167" t="s">
        <v>166</v>
      </c>
      <c r="B279" s="167"/>
      <c r="C279" s="112">
        <v>21200</v>
      </c>
      <c r="E279" s="8"/>
      <c r="F279" s="8"/>
      <c r="G279" s="8"/>
      <c r="H279" s="8"/>
    </row>
    <row r="280" spans="1:8" x14ac:dyDescent="0.25">
      <c r="A280" s="167" t="s">
        <v>2</v>
      </c>
      <c r="B280" s="167"/>
      <c r="C280" s="112" t="str">
        <f>VLOOKUP(C279,'MASTER AKUN'!$A$8:$C297,2,FALSE)</f>
        <v>Pendapatan Diterima Di Muka-Jasa Kirim</v>
      </c>
      <c r="E280" s="8"/>
      <c r="F280" s="8"/>
      <c r="G280" s="8"/>
      <c r="H280" s="8"/>
    </row>
    <row r="281" spans="1:8" x14ac:dyDescent="0.25">
      <c r="E281" s="8"/>
      <c r="F281" s="8"/>
      <c r="G281" s="8"/>
      <c r="H281" s="8"/>
    </row>
    <row r="282" spans="1:8" x14ac:dyDescent="0.25">
      <c r="A282" s="160" t="s">
        <v>142</v>
      </c>
      <c r="B282" s="160" t="s">
        <v>127</v>
      </c>
      <c r="C282" s="169" t="s">
        <v>143</v>
      </c>
      <c r="D282" s="160" t="s">
        <v>128</v>
      </c>
      <c r="E282" s="162" t="s">
        <v>129</v>
      </c>
      <c r="F282" s="162" t="s">
        <v>130</v>
      </c>
      <c r="G282" s="160" t="s">
        <v>144</v>
      </c>
      <c r="H282" s="160"/>
    </row>
    <row r="283" spans="1:8" x14ac:dyDescent="0.25">
      <c r="A283" s="160"/>
      <c r="B283" s="160"/>
      <c r="C283" s="169"/>
      <c r="D283" s="160"/>
      <c r="E283" s="162"/>
      <c r="F283" s="162"/>
      <c r="G283" s="12" t="s">
        <v>129</v>
      </c>
      <c r="H283" s="12" t="s">
        <v>130</v>
      </c>
    </row>
    <row r="284" spans="1:8" x14ac:dyDescent="0.25">
      <c r="A284" s="27"/>
      <c r="B284" s="27"/>
      <c r="C284" s="115" t="s">
        <v>145</v>
      </c>
      <c r="D284" s="27"/>
      <c r="E284" s="29"/>
      <c r="F284" s="29"/>
      <c r="G284" s="29">
        <f>VLOOKUP(C279,'MASTER AKUN'!$A$8:$E$72,4,FALSE)</f>
        <v>0</v>
      </c>
      <c r="H284" s="29">
        <f>VLOOKUP(C279,'MASTER AKUN'!$A$8:$E$72,5,FALSE)</f>
        <v>0</v>
      </c>
    </row>
    <row r="285" spans="1:8" x14ac:dyDescent="0.25">
      <c r="A285" s="45">
        <v>38746</v>
      </c>
      <c r="B285" s="16" t="s">
        <v>180</v>
      </c>
      <c r="C285" s="116" t="s">
        <v>301</v>
      </c>
      <c r="D285" s="27"/>
      <c r="E285" s="29"/>
      <c r="F285" s="29">
        <f ca="1">SUMIF('JURNAL UMUM'!$A$99:H$99,'BUKU BESAR'!C279,'JURNAL UMUM'!$H$99:$H$99)</f>
        <v>200000</v>
      </c>
      <c r="G285" s="29"/>
      <c r="H285" s="29">
        <f t="shared" ref="H285" ca="1" si="30">IF(H284+F285&gt;G284+E285,(H284+F285)-(G284+E285),0)</f>
        <v>200000</v>
      </c>
    </row>
    <row r="286" spans="1:8" x14ac:dyDescent="0.25">
      <c r="A286" s="27"/>
      <c r="B286" s="27"/>
      <c r="C286" s="116"/>
      <c r="D286" s="27"/>
      <c r="E286" s="29"/>
      <c r="F286" s="29"/>
      <c r="G286" s="29"/>
      <c r="H286" s="29"/>
    </row>
    <row r="289" spans="1:8" x14ac:dyDescent="0.25">
      <c r="A289" s="167" t="s">
        <v>166</v>
      </c>
      <c r="B289" s="167"/>
      <c r="C289" s="112">
        <v>21300</v>
      </c>
      <c r="E289" s="8"/>
      <c r="F289" s="8"/>
      <c r="G289" s="8"/>
      <c r="H289" s="8"/>
    </row>
    <row r="290" spans="1:8" x14ac:dyDescent="0.25">
      <c r="A290" s="167" t="s">
        <v>2</v>
      </c>
      <c r="B290" s="167"/>
      <c r="C290" s="112" t="str">
        <f>VLOOKUP(C289,'MASTER AKUN'!$A$8:$C307,2,FALSE)</f>
        <v>Hutang Bunga</v>
      </c>
      <c r="E290" s="8"/>
      <c r="F290" s="8"/>
      <c r="G290" s="8"/>
      <c r="H290" s="8"/>
    </row>
    <row r="291" spans="1:8" x14ac:dyDescent="0.25">
      <c r="E291" s="8"/>
      <c r="F291" s="8"/>
      <c r="G291" s="8"/>
      <c r="H291" s="8"/>
    </row>
    <row r="292" spans="1:8" x14ac:dyDescent="0.25">
      <c r="A292" s="160" t="s">
        <v>142</v>
      </c>
      <c r="B292" s="160" t="s">
        <v>127</v>
      </c>
      <c r="C292" s="169" t="s">
        <v>143</v>
      </c>
      <c r="D292" s="160" t="s">
        <v>128</v>
      </c>
      <c r="E292" s="162" t="s">
        <v>129</v>
      </c>
      <c r="F292" s="162" t="s">
        <v>130</v>
      </c>
      <c r="G292" s="160" t="s">
        <v>144</v>
      </c>
      <c r="H292" s="160"/>
    </row>
    <row r="293" spans="1:8" x14ac:dyDescent="0.25">
      <c r="A293" s="160"/>
      <c r="B293" s="160"/>
      <c r="C293" s="169"/>
      <c r="D293" s="160"/>
      <c r="E293" s="162"/>
      <c r="F293" s="162"/>
      <c r="G293" s="12" t="s">
        <v>129</v>
      </c>
      <c r="H293" s="12" t="s">
        <v>130</v>
      </c>
    </row>
    <row r="294" spans="1:8" x14ac:dyDescent="0.25">
      <c r="A294" s="27"/>
      <c r="B294" s="27"/>
      <c r="C294" s="115" t="s">
        <v>145</v>
      </c>
      <c r="D294" s="27"/>
      <c r="E294" s="29"/>
      <c r="F294" s="29"/>
      <c r="G294" s="29">
        <f>VLOOKUP(C289,'MASTER AKUN'!$A$8:$E$72,4,FALSE)</f>
        <v>0</v>
      </c>
      <c r="H294" s="29">
        <f>VLOOKUP(C289,'MASTER AKUN'!$A$8:$E$72,5,FALSE)</f>
        <v>0</v>
      </c>
    </row>
    <row r="295" spans="1:8" x14ac:dyDescent="0.25">
      <c r="A295" s="45">
        <v>38748</v>
      </c>
      <c r="B295" s="16" t="s">
        <v>184</v>
      </c>
      <c r="C295" s="116" t="s">
        <v>302</v>
      </c>
      <c r="D295" s="27"/>
      <c r="E295" s="29"/>
      <c r="F295" s="29">
        <f ca="1">SUMIF('JURNAL UMUM'!$A$114:H$114,'BUKU BESAR'!C289,'JURNAL UMUM'!$H$114:$H$114)</f>
        <v>1500000</v>
      </c>
      <c r="G295" s="29"/>
      <c r="H295" s="29">
        <f t="shared" ref="H295" ca="1" si="31">IF(H294+F295&gt;G294+E295,(H294+F295)-(G294+E295),0)</f>
        <v>1500000</v>
      </c>
    </row>
    <row r="296" spans="1:8" x14ac:dyDescent="0.25">
      <c r="A296" s="27"/>
      <c r="B296" s="27"/>
      <c r="C296" s="116"/>
      <c r="D296" s="27"/>
      <c r="E296" s="29"/>
      <c r="F296" s="29"/>
      <c r="G296" s="29"/>
      <c r="H296" s="29"/>
    </row>
    <row r="298" spans="1:8" x14ac:dyDescent="0.25">
      <c r="A298" s="167" t="s">
        <v>166</v>
      </c>
      <c r="B298" s="167"/>
      <c r="C298" s="112">
        <v>21400</v>
      </c>
      <c r="E298" s="8"/>
      <c r="F298" s="8"/>
      <c r="G298" s="8"/>
      <c r="H298" s="8"/>
    </row>
    <row r="299" spans="1:8" x14ac:dyDescent="0.25">
      <c r="A299" s="167" t="s">
        <v>2</v>
      </c>
      <c r="B299" s="167"/>
      <c r="C299" s="112" t="str">
        <f>VLOOKUP(C298,'MASTER AKUN'!$A$8:$C316,2,FALSE)</f>
        <v>Hutang Pajak</v>
      </c>
      <c r="E299" s="8"/>
      <c r="F299" s="8"/>
      <c r="G299" s="8"/>
      <c r="H299" s="8"/>
    </row>
    <row r="300" spans="1:8" x14ac:dyDescent="0.25">
      <c r="E300" s="8"/>
      <c r="F300" s="8"/>
      <c r="G300" s="8"/>
      <c r="H300" s="8"/>
    </row>
    <row r="301" spans="1:8" x14ac:dyDescent="0.25">
      <c r="A301" s="160" t="s">
        <v>142</v>
      </c>
      <c r="B301" s="160" t="s">
        <v>127</v>
      </c>
      <c r="C301" s="169" t="s">
        <v>143</v>
      </c>
      <c r="D301" s="160" t="s">
        <v>128</v>
      </c>
      <c r="E301" s="162" t="s">
        <v>129</v>
      </c>
      <c r="F301" s="162" t="s">
        <v>130</v>
      </c>
      <c r="G301" s="160" t="s">
        <v>144</v>
      </c>
      <c r="H301" s="160"/>
    </row>
    <row r="302" spans="1:8" x14ac:dyDescent="0.25">
      <c r="A302" s="160"/>
      <c r="B302" s="160"/>
      <c r="C302" s="169"/>
      <c r="D302" s="160"/>
      <c r="E302" s="162"/>
      <c r="F302" s="162"/>
      <c r="G302" s="12" t="s">
        <v>129</v>
      </c>
      <c r="H302" s="12" t="s">
        <v>130</v>
      </c>
    </row>
    <row r="303" spans="1:8" x14ac:dyDescent="0.25">
      <c r="A303" s="27"/>
      <c r="B303" s="27"/>
      <c r="C303" s="115" t="s">
        <v>145</v>
      </c>
      <c r="D303" s="27"/>
      <c r="E303" s="29"/>
      <c r="F303" s="29"/>
      <c r="G303" s="29">
        <f>VLOOKUP(C298,'MASTER AKUN'!$A$8:$E$72,4,FALSE)</f>
        <v>0</v>
      </c>
      <c r="H303" s="29">
        <f>VLOOKUP(C298,'MASTER AKUN'!$A$8:$E$72,5,FALSE)</f>
        <v>0</v>
      </c>
    </row>
    <row r="304" spans="1:8" x14ac:dyDescent="0.25">
      <c r="A304" s="27"/>
      <c r="B304" s="27"/>
      <c r="C304" s="116"/>
      <c r="D304" s="27"/>
      <c r="E304" s="29"/>
      <c r="F304" s="29"/>
      <c r="G304" s="29"/>
      <c r="H304" s="29"/>
    </row>
    <row r="305" spans="1:8" x14ac:dyDescent="0.25">
      <c r="A305" s="27"/>
      <c r="B305" s="27"/>
      <c r="C305" s="116"/>
      <c r="D305" s="27"/>
      <c r="E305" s="29"/>
      <c r="F305" s="29"/>
      <c r="G305" s="29"/>
      <c r="H305" s="29"/>
    </row>
    <row r="307" spans="1:8" x14ac:dyDescent="0.25">
      <c r="A307" s="167" t="s">
        <v>166</v>
      </c>
      <c r="B307" s="167"/>
      <c r="C307" s="112">
        <v>21401</v>
      </c>
      <c r="E307" s="8"/>
      <c r="F307" s="8"/>
      <c r="G307" s="8"/>
      <c r="H307" s="8"/>
    </row>
    <row r="308" spans="1:8" x14ac:dyDescent="0.25">
      <c r="A308" s="167" t="s">
        <v>2</v>
      </c>
      <c r="B308" s="167"/>
      <c r="C308" s="112" t="str">
        <f>VLOOKUP(C307,'MASTER AKUN'!$A$8:$C325,2,FALSE)</f>
        <v>Utang PPh Pasal 21</v>
      </c>
      <c r="E308" s="8"/>
      <c r="F308" s="8"/>
      <c r="G308" s="8"/>
      <c r="H308" s="8"/>
    </row>
    <row r="309" spans="1:8" x14ac:dyDescent="0.25">
      <c r="E309" s="8"/>
      <c r="F309" s="8"/>
      <c r="G309" s="8"/>
      <c r="H309" s="8"/>
    </row>
    <row r="310" spans="1:8" x14ac:dyDescent="0.25">
      <c r="A310" s="160" t="s">
        <v>142</v>
      </c>
      <c r="B310" s="160" t="s">
        <v>127</v>
      </c>
      <c r="C310" s="169" t="s">
        <v>143</v>
      </c>
      <c r="D310" s="160" t="s">
        <v>128</v>
      </c>
      <c r="E310" s="162" t="s">
        <v>129</v>
      </c>
      <c r="F310" s="162" t="s">
        <v>130</v>
      </c>
      <c r="G310" s="160" t="s">
        <v>144</v>
      </c>
      <c r="H310" s="160"/>
    </row>
    <row r="311" spans="1:8" x14ac:dyDescent="0.25">
      <c r="A311" s="160"/>
      <c r="B311" s="160"/>
      <c r="C311" s="169"/>
      <c r="D311" s="160"/>
      <c r="E311" s="162"/>
      <c r="F311" s="162"/>
      <c r="G311" s="12" t="s">
        <v>129</v>
      </c>
      <c r="H311" s="12" t="s">
        <v>130</v>
      </c>
    </row>
    <row r="312" spans="1:8" x14ac:dyDescent="0.25">
      <c r="A312" s="27"/>
      <c r="B312" s="27"/>
      <c r="C312" s="115" t="s">
        <v>145</v>
      </c>
      <c r="D312" s="27"/>
      <c r="E312" s="29"/>
      <c r="F312" s="29"/>
      <c r="G312" s="29">
        <f>VLOOKUP(C307,'MASTER AKUN'!$A$8:$E$72,4,FALSE)</f>
        <v>0</v>
      </c>
      <c r="H312" s="29">
        <f>VLOOKUP(C307,'MASTER AKUN'!$A$8:$E$72,5,FALSE)</f>
        <v>0</v>
      </c>
    </row>
    <row r="313" spans="1:8" x14ac:dyDescent="0.25">
      <c r="A313" s="45">
        <v>38748</v>
      </c>
      <c r="B313" s="16" t="s">
        <v>182</v>
      </c>
      <c r="C313" s="116" t="s">
        <v>303</v>
      </c>
      <c r="D313" s="29"/>
      <c r="E313" s="29"/>
      <c r="F313" s="29">
        <f ca="1">SUMIF('JURNAL UMUM'!$A$107:H$107,'BUKU BESAR'!C307,'JURNAL UMUM'!$H$107:$H$107)</f>
        <v>725000</v>
      </c>
      <c r="G313" s="29"/>
      <c r="H313" s="29">
        <f t="shared" ref="H313" ca="1" si="32">IF(H312+F313&gt;G312+E313,(H312+F313)-(G312+E313),0)</f>
        <v>725000</v>
      </c>
    </row>
    <row r="314" spans="1:8" x14ac:dyDescent="0.25">
      <c r="A314" s="27"/>
      <c r="B314" s="27"/>
      <c r="C314" s="116"/>
      <c r="D314" s="27"/>
      <c r="E314" s="29"/>
      <c r="F314" s="29"/>
      <c r="G314" s="29"/>
      <c r="H314" s="29"/>
    </row>
    <row r="316" spans="1:8" x14ac:dyDescent="0.25">
      <c r="A316" s="167" t="s">
        <v>166</v>
      </c>
      <c r="B316" s="167"/>
      <c r="C316" s="112">
        <v>21402</v>
      </c>
      <c r="E316" s="8"/>
      <c r="F316" s="8"/>
      <c r="G316" s="8"/>
      <c r="H316" s="8"/>
    </row>
    <row r="317" spans="1:8" x14ac:dyDescent="0.25">
      <c r="A317" s="167" t="s">
        <v>2</v>
      </c>
      <c r="B317" s="167"/>
      <c r="C317" s="112" t="str">
        <f>VLOOKUP(C316,'MASTER AKUN'!$A$8:$C334,2,FALSE)</f>
        <v>Utang PPh Pasal 4</v>
      </c>
      <c r="E317" s="8"/>
      <c r="F317" s="8"/>
      <c r="G317" s="8"/>
      <c r="H317" s="8"/>
    </row>
    <row r="318" spans="1:8" x14ac:dyDescent="0.25">
      <c r="E318" s="8"/>
      <c r="F318" s="8"/>
      <c r="G318" s="8"/>
      <c r="H318" s="8"/>
    </row>
    <row r="319" spans="1:8" x14ac:dyDescent="0.25">
      <c r="A319" s="160" t="s">
        <v>142</v>
      </c>
      <c r="B319" s="160" t="s">
        <v>127</v>
      </c>
      <c r="C319" s="169" t="s">
        <v>143</v>
      </c>
      <c r="D319" s="160" t="s">
        <v>128</v>
      </c>
      <c r="E319" s="162" t="s">
        <v>129</v>
      </c>
      <c r="F319" s="162" t="s">
        <v>130</v>
      </c>
      <c r="G319" s="160" t="s">
        <v>144</v>
      </c>
      <c r="H319" s="160"/>
    </row>
    <row r="320" spans="1:8" x14ac:dyDescent="0.25">
      <c r="A320" s="160"/>
      <c r="B320" s="160"/>
      <c r="C320" s="169"/>
      <c r="D320" s="160"/>
      <c r="E320" s="162"/>
      <c r="F320" s="162"/>
      <c r="G320" s="12" t="s">
        <v>129</v>
      </c>
      <c r="H320" s="12" t="s">
        <v>130</v>
      </c>
    </row>
    <row r="321" spans="1:8" x14ac:dyDescent="0.25">
      <c r="A321" s="27"/>
      <c r="B321" s="27"/>
      <c r="C321" s="115" t="s">
        <v>145</v>
      </c>
      <c r="D321" s="27"/>
      <c r="E321" s="29"/>
      <c r="F321" s="29"/>
      <c r="G321" s="29">
        <f>VLOOKUP(C316,'MASTER AKUN'!$A$8:$E$72,4,FALSE)</f>
        <v>0</v>
      </c>
      <c r="H321" s="29">
        <f>VLOOKUP(C316,'MASTER AKUN'!$A$8:$E$72,5,FALSE)</f>
        <v>0</v>
      </c>
    </row>
    <row r="322" spans="1:8" x14ac:dyDescent="0.25">
      <c r="A322" s="45">
        <v>38727</v>
      </c>
      <c r="B322" s="16" t="s">
        <v>164</v>
      </c>
      <c r="C322" s="116" t="s">
        <v>304</v>
      </c>
      <c r="D322" s="27"/>
      <c r="E322" s="29"/>
      <c r="F322" s="29">
        <f ca="1">SUMIF('JURNAL UMUM'!$A$41:H$41,'BUKU BESAR'!C316,'JURNAL UMUM'!$H$41:$H$41)</f>
        <v>250000</v>
      </c>
      <c r="G322" s="29"/>
      <c r="H322" s="29">
        <f t="shared" ref="H322" ca="1" si="33">IF(H321+F322&gt;G321+E322,(H321+F322)-(G321+E322),0)</f>
        <v>250000</v>
      </c>
    </row>
    <row r="323" spans="1:8" x14ac:dyDescent="0.25">
      <c r="A323" s="27"/>
      <c r="B323" s="27"/>
      <c r="C323" s="116"/>
      <c r="D323" s="27"/>
      <c r="E323" s="29"/>
      <c r="F323" s="29"/>
      <c r="G323" s="29"/>
      <c r="H323" s="29"/>
    </row>
    <row r="325" spans="1:8" x14ac:dyDescent="0.25">
      <c r="A325" s="167" t="s">
        <v>166</v>
      </c>
      <c r="B325" s="167"/>
      <c r="C325" s="112">
        <v>21403</v>
      </c>
      <c r="E325" s="8"/>
      <c r="F325" s="8"/>
      <c r="G325" s="8"/>
      <c r="H325" s="8"/>
    </row>
    <row r="326" spans="1:8" x14ac:dyDescent="0.25">
      <c r="A326" s="167" t="s">
        <v>2</v>
      </c>
      <c r="B326" s="167"/>
      <c r="C326" s="112" t="str">
        <f>VLOOKUP(C325,'MASTER AKUN'!$A$8:$C343,2,FALSE)</f>
        <v>PPN Keluaran</v>
      </c>
      <c r="E326" s="8"/>
      <c r="F326" s="8"/>
      <c r="G326" s="8"/>
      <c r="H326" s="8"/>
    </row>
    <row r="327" spans="1:8" x14ac:dyDescent="0.25">
      <c r="E327" s="8"/>
      <c r="F327" s="8"/>
      <c r="G327" s="8"/>
      <c r="H327" s="8"/>
    </row>
    <row r="328" spans="1:8" x14ac:dyDescent="0.25">
      <c r="A328" s="160" t="s">
        <v>142</v>
      </c>
      <c r="B328" s="160" t="s">
        <v>127</v>
      </c>
      <c r="C328" s="169" t="s">
        <v>143</v>
      </c>
      <c r="D328" s="160" t="s">
        <v>128</v>
      </c>
      <c r="E328" s="162" t="s">
        <v>129</v>
      </c>
      <c r="F328" s="162" t="s">
        <v>130</v>
      </c>
      <c r="G328" s="160" t="s">
        <v>144</v>
      </c>
      <c r="H328" s="160"/>
    </row>
    <row r="329" spans="1:8" x14ac:dyDescent="0.25">
      <c r="A329" s="160"/>
      <c r="B329" s="160"/>
      <c r="C329" s="169"/>
      <c r="D329" s="160"/>
      <c r="E329" s="162"/>
      <c r="F329" s="162"/>
      <c r="G329" s="12" t="s">
        <v>129</v>
      </c>
      <c r="H329" s="12" t="s">
        <v>130</v>
      </c>
    </row>
    <row r="330" spans="1:8" x14ac:dyDescent="0.25">
      <c r="A330" s="27"/>
      <c r="B330" s="27"/>
      <c r="C330" s="115" t="s">
        <v>145</v>
      </c>
      <c r="D330" s="27"/>
      <c r="E330" s="29"/>
      <c r="F330" s="29"/>
      <c r="G330" s="29">
        <f>VLOOKUP(C325,'MASTER AKUN'!$A$8:$E$72,4,FALSE)</f>
        <v>0</v>
      </c>
      <c r="H330" s="29">
        <f>VLOOKUP(C325,'MASTER AKUN'!$A$8:$E$72,5,FALSE)</f>
        <v>0</v>
      </c>
    </row>
    <row r="331" spans="1:8" x14ac:dyDescent="0.25">
      <c r="A331" s="43">
        <v>38720</v>
      </c>
      <c r="B331" s="2" t="s">
        <v>157</v>
      </c>
      <c r="C331" s="116" t="s">
        <v>305</v>
      </c>
      <c r="D331" s="27"/>
      <c r="E331" s="29"/>
      <c r="F331" s="29">
        <f ca="1">SUMIF('JURNAL UMUM'!$A$15:H$15,'BUKU BESAR'!C325,'JURNAL UMUM'!$H$15:$H$15)</f>
        <v>2268750</v>
      </c>
      <c r="G331" s="29"/>
      <c r="H331" s="29">
        <f t="shared" ref="H331:H337" ca="1" si="34">IF(H330+F331&gt;G330+E331,(H330+F331)-(G330+E331),0)</f>
        <v>2268750</v>
      </c>
    </row>
    <row r="332" spans="1:8" x14ac:dyDescent="0.25">
      <c r="A332" s="43">
        <v>38728</v>
      </c>
      <c r="B332" s="2" t="s">
        <v>168</v>
      </c>
      <c r="C332" s="116" t="s">
        <v>305</v>
      </c>
      <c r="D332" s="27"/>
      <c r="E332" s="29">
        <f ca="1">SUMIF('JURNAL UMUM'!$A$44:$H$44,'BUKU BESAR'!C325,'JURNAL UMUM'!$G$44)</f>
        <v>37500</v>
      </c>
      <c r="F332" s="29"/>
      <c r="G332" s="29"/>
      <c r="H332" s="29">
        <f t="shared" ca="1" si="34"/>
        <v>2231250</v>
      </c>
    </row>
    <row r="333" spans="1:8" x14ac:dyDescent="0.25">
      <c r="A333" s="43">
        <v>38739</v>
      </c>
      <c r="B333" s="2" t="s">
        <v>172</v>
      </c>
      <c r="C333" s="116" t="s">
        <v>305</v>
      </c>
      <c r="D333" s="27"/>
      <c r="E333" s="29"/>
      <c r="F333" s="29">
        <f ca="1">SUMIF('JURNAL UMUM'!$A$57:H$57,'BUKU BESAR'!C325,'JURNAL UMUM'!$H$57:$H$57)</f>
        <v>2675000</v>
      </c>
      <c r="G333" s="29"/>
      <c r="H333" s="29">
        <f t="shared" ca="1" si="34"/>
        <v>4906250</v>
      </c>
    </row>
    <row r="334" spans="1:8" x14ac:dyDescent="0.25">
      <c r="A334" s="43">
        <v>38740</v>
      </c>
      <c r="B334" s="2" t="s">
        <v>173</v>
      </c>
      <c r="C334" s="116" t="s">
        <v>305</v>
      </c>
      <c r="D334" s="2"/>
      <c r="E334" s="2"/>
      <c r="F334" s="29">
        <f ca="1">SUMIF('JURNAL UMUM'!$A$64:H$64,'BUKU BESAR'!C325,'JURNAL UMUM'!$H$64:$H$64)</f>
        <v>3685000</v>
      </c>
      <c r="G334" s="2"/>
      <c r="H334" s="29">
        <f t="shared" ca="1" si="34"/>
        <v>8591250</v>
      </c>
    </row>
    <row r="335" spans="1:8" x14ac:dyDescent="0.25">
      <c r="A335" s="43">
        <v>38741</v>
      </c>
      <c r="B335" s="2" t="s">
        <v>174</v>
      </c>
      <c r="C335" s="116" t="s">
        <v>305</v>
      </c>
      <c r="D335" s="2"/>
      <c r="E335" s="29">
        <f ca="1">SUMIF('JURNAL UMUM'!$A$71:$H$71,'BUKU BESAR'!C325,'JURNAL UMUM'!$G$71)</f>
        <v>175000</v>
      </c>
      <c r="F335" s="29"/>
      <c r="G335" s="2"/>
      <c r="H335" s="29">
        <f t="shared" ca="1" si="34"/>
        <v>8416250</v>
      </c>
    </row>
    <row r="336" spans="1:8" x14ac:dyDescent="0.25">
      <c r="A336" s="43">
        <v>38743</v>
      </c>
      <c r="B336" s="2" t="s">
        <v>175</v>
      </c>
      <c r="C336" s="116" t="s">
        <v>305</v>
      </c>
      <c r="D336" s="2"/>
      <c r="E336" s="29"/>
      <c r="F336" s="29">
        <f ca="1">SUMIF('JURNAL UMUM'!$A$77:H$77,'BUKU BESAR'!C325,'JURNAL UMUM'!$H$77:$H$77)</f>
        <v>2869000</v>
      </c>
      <c r="G336" s="2"/>
      <c r="H336" s="29">
        <f t="shared" ca="1" si="34"/>
        <v>11285250</v>
      </c>
    </row>
    <row r="337" spans="1:8" x14ac:dyDescent="0.25">
      <c r="A337" s="43">
        <v>38746</v>
      </c>
      <c r="B337" s="2" t="s">
        <v>180</v>
      </c>
      <c r="C337" s="116" t="s">
        <v>305</v>
      </c>
      <c r="D337" s="2"/>
      <c r="E337" s="29"/>
      <c r="F337" s="29">
        <f ca="1">SUMIF('JURNAL UMUM'!$A$98:H$98,'BUKU BESAR'!C325,'JURNAL UMUM'!$H$98:$H$98)</f>
        <v>2684500</v>
      </c>
      <c r="G337" s="2"/>
      <c r="H337" s="29">
        <f t="shared" ca="1" si="34"/>
        <v>13969750</v>
      </c>
    </row>
    <row r="338" spans="1:8" x14ac:dyDescent="0.25">
      <c r="A338" s="57"/>
      <c r="B338" s="42"/>
      <c r="E338" s="56"/>
      <c r="F338" s="56"/>
    </row>
    <row r="339" spans="1:8" x14ac:dyDescent="0.25">
      <c r="A339" s="57"/>
      <c r="B339" s="42"/>
      <c r="E339" s="8"/>
      <c r="F339" s="8"/>
      <c r="G339" s="8"/>
      <c r="H339" s="8"/>
    </row>
    <row r="340" spans="1:8" x14ac:dyDescent="0.25">
      <c r="A340" s="167" t="s">
        <v>166</v>
      </c>
      <c r="B340" s="167"/>
      <c r="C340" s="112">
        <v>22000</v>
      </c>
      <c r="E340" s="8"/>
      <c r="F340" s="8"/>
      <c r="G340" s="8"/>
      <c r="H340" s="8"/>
    </row>
    <row r="341" spans="1:8" x14ac:dyDescent="0.25">
      <c r="A341" s="167" t="s">
        <v>2</v>
      </c>
      <c r="B341" s="167"/>
      <c r="C341" s="112" t="str">
        <f>VLOOKUP(C340,'MASTER AKUN'!$A$8:$C353,2,FALSE)</f>
        <v>KEWAJIBAN JANGKA PANJANG</v>
      </c>
      <c r="E341" s="8"/>
      <c r="F341" s="8"/>
      <c r="G341" s="8"/>
      <c r="H341" s="8"/>
    </row>
    <row r="342" spans="1:8" x14ac:dyDescent="0.25">
      <c r="A342" s="93" t="s">
        <v>142</v>
      </c>
      <c r="B342" s="93" t="s">
        <v>127</v>
      </c>
      <c r="C342" s="170" t="s">
        <v>143</v>
      </c>
      <c r="D342" s="168" t="s">
        <v>128</v>
      </c>
      <c r="E342" s="172" t="s">
        <v>129</v>
      </c>
      <c r="F342" s="172" t="s">
        <v>130</v>
      </c>
      <c r="G342" s="174" t="s">
        <v>144</v>
      </c>
      <c r="H342" s="175"/>
    </row>
    <row r="343" spans="1:8" x14ac:dyDescent="0.25">
      <c r="A343" s="94"/>
      <c r="B343" s="94"/>
      <c r="C343" s="171"/>
      <c r="D343" s="165"/>
      <c r="E343" s="173"/>
      <c r="F343" s="173"/>
      <c r="G343" s="12" t="s">
        <v>129</v>
      </c>
      <c r="H343" s="12" t="s">
        <v>130</v>
      </c>
    </row>
    <row r="344" spans="1:8" x14ac:dyDescent="0.25">
      <c r="A344" s="27"/>
      <c r="B344" s="27"/>
      <c r="C344" s="115" t="s">
        <v>145</v>
      </c>
      <c r="D344" s="27"/>
      <c r="E344" s="29"/>
      <c r="F344" s="29"/>
      <c r="G344" s="29">
        <f>VLOOKUP(C340,'MASTER AKUN'!$A$8:$E$72,4,FALSE)</f>
        <v>0</v>
      </c>
      <c r="H344" s="29">
        <f>VLOOKUP(C340,'MASTER AKUN'!$A$8:$E$72,5,FALSE)</f>
        <v>0</v>
      </c>
    </row>
    <row r="345" spans="1:8" x14ac:dyDescent="0.25">
      <c r="A345" s="27"/>
      <c r="B345" s="27"/>
      <c r="C345" s="116"/>
      <c r="D345" s="27"/>
      <c r="E345" s="29"/>
      <c r="F345" s="29"/>
      <c r="G345" s="29"/>
      <c r="H345" s="29"/>
    </row>
    <row r="346" spans="1:8" x14ac:dyDescent="0.25">
      <c r="A346" s="27"/>
      <c r="B346" s="27"/>
      <c r="C346" s="116"/>
      <c r="D346" s="27"/>
      <c r="E346" s="29"/>
      <c r="F346" s="29"/>
      <c r="G346" s="29"/>
      <c r="H346" s="29"/>
    </row>
    <row r="348" spans="1:8" x14ac:dyDescent="0.25">
      <c r="A348" s="167" t="s">
        <v>166</v>
      </c>
      <c r="B348" s="167"/>
      <c r="C348" s="112">
        <v>22001</v>
      </c>
      <c r="E348" s="8"/>
      <c r="F348" s="8"/>
      <c r="G348" s="8"/>
      <c r="H348" s="8"/>
    </row>
    <row r="349" spans="1:8" x14ac:dyDescent="0.25">
      <c r="A349" s="167" t="s">
        <v>2</v>
      </c>
      <c r="B349" s="167"/>
      <c r="C349" s="112" t="str">
        <f>VLOOKUP(C348,'MASTER AKUN'!$A$8:$C361,2,FALSE)</f>
        <v>Hutang Bank Mandiri</v>
      </c>
      <c r="E349" s="8"/>
      <c r="F349" s="8"/>
      <c r="G349" s="8"/>
      <c r="H349" s="8"/>
    </row>
    <row r="350" spans="1:8" x14ac:dyDescent="0.25">
      <c r="E350" s="8"/>
      <c r="F350" s="8"/>
      <c r="G350" s="8"/>
      <c r="H350" s="8"/>
    </row>
    <row r="351" spans="1:8" x14ac:dyDescent="0.25">
      <c r="A351" s="160" t="s">
        <v>142</v>
      </c>
      <c r="B351" s="160" t="s">
        <v>127</v>
      </c>
      <c r="C351" s="169" t="s">
        <v>143</v>
      </c>
      <c r="D351" s="160" t="s">
        <v>128</v>
      </c>
      <c r="E351" s="162" t="s">
        <v>129</v>
      </c>
      <c r="F351" s="162" t="s">
        <v>130</v>
      </c>
      <c r="G351" s="160" t="s">
        <v>144</v>
      </c>
      <c r="H351" s="160"/>
    </row>
    <row r="352" spans="1:8" x14ac:dyDescent="0.25">
      <c r="A352" s="160"/>
      <c r="B352" s="160"/>
      <c r="C352" s="169"/>
      <c r="D352" s="160"/>
      <c r="E352" s="162"/>
      <c r="F352" s="162"/>
      <c r="G352" s="12" t="s">
        <v>129</v>
      </c>
      <c r="H352" s="12" t="s">
        <v>130</v>
      </c>
    </row>
    <row r="353" spans="1:8" x14ac:dyDescent="0.25">
      <c r="A353" s="27"/>
      <c r="B353" s="27"/>
      <c r="C353" s="115" t="s">
        <v>145</v>
      </c>
      <c r="D353" s="27"/>
      <c r="E353" s="29"/>
      <c r="F353" s="29"/>
      <c r="G353" s="29">
        <f>VLOOKUP(C348,'MASTER AKUN'!$A$8:$E$72,4,FALSE)</f>
        <v>0</v>
      </c>
      <c r="H353" s="29">
        <f>VLOOKUP(C348,'MASTER AKUN'!$A$8:$E$72,5,FALSE)</f>
        <v>75000000</v>
      </c>
    </row>
    <row r="354" spans="1:8" x14ac:dyDescent="0.25">
      <c r="A354" s="27"/>
      <c r="B354" s="27"/>
      <c r="C354" s="116"/>
      <c r="D354" s="27"/>
      <c r="E354" s="29"/>
      <c r="F354" s="29"/>
      <c r="G354" s="29"/>
      <c r="H354" s="29"/>
    </row>
    <row r="355" spans="1:8" x14ac:dyDescent="0.25">
      <c r="A355" s="27"/>
      <c r="B355" s="27"/>
      <c r="C355" s="116"/>
      <c r="D355" s="27"/>
      <c r="E355" s="29"/>
      <c r="F355" s="29"/>
      <c r="G355" s="29"/>
      <c r="H355" s="29"/>
    </row>
    <row r="357" spans="1:8" x14ac:dyDescent="0.25">
      <c r="A357" s="167" t="s">
        <v>166</v>
      </c>
      <c r="B357" s="167"/>
      <c r="C357" s="112">
        <v>30000</v>
      </c>
      <c r="E357" s="8"/>
      <c r="F357" s="8"/>
      <c r="G357" s="8"/>
      <c r="H357" s="8"/>
    </row>
    <row r="358" spans="1:8" x14ac:dyDescent="0.25">
      <c r="A358" s="167" t="s">
        <v>2</v>
      </c>
      <c r="B358" s="167"/>
      <c r="C358" s="112" t="str">
        <f>VLOOKUP(C357,'MASTER AKUN'!$A$8:$C370,2,FALSE)</f>
        <v>EKUITAS</v>
      </c>
      <c r="E358" s="8"/>
      <c r="F358" s="8"/>
      <c r="G358" s="8"/>
      <c r="H358" s="8"/>
    </row>
    <row r="359" spans="1:8" x14ac:dyDescent="0.25">
      <c r="E359" s="8"/>
      <c r="F359" s="8"/>
      <c r="G359" s="8"/>
      <c r="H359" s="8"/>
    </row>
    <row r="360" spans="1:8" x14ac:dyDescent="0.25">
      <c r="A360" s="160" t="s">
        <v>142</v>
      </c>
      <c r="B360" s="160" t="s">
        <v>127</v>
      </c>
      <c r="C360" s="169" t="s">
        <v>143</v>
      </c>
      <c r="D360" s="160" t="s">
        <v>128</v>
      </c>
      <c r="E360" s="162" t="s">
        <v>129</v>
      </c>
      <c r="F360" s="162" t="s">
        <v>130</v>
      </c>
      <c r="G360" s="160" t="s">
        <v>144</v>
      </c>
      <c r="H360" s="160"/>
    </row>
    <row r="361" spans="1:8" x14ac:dyDescent="0.25">
      <c r="A361" s="160"/>
      <c r="B361" s="160"/>
      <c r="C361" s="169"/>
      <c r="D361" s="160"/>
      <c r="E361" s="162"/>
      <c r="F361" s="162"/>
      <c r="G361" s="12" t="s">
        <v>129</v>
      </c>
      <c r="H361" s="12" t="s">
        <v>130</v>
      </c>
    </row>
    <row r="362" spans="1:8" x14ac:dyDescent="0.25">
      <c r="A362" s="27"/>
      <c r="B362" s="27"/>
      <c r="C362" s="115" t="s">
        <v>145</v>
      </c>
      <c r="D362" s="27"/>
      <c r="E362" s="29"/>
      <c r="F362" s="29"/>
      <c r="G362" s="29">
        <f>VLOOKUP(C357,'MASTER AKUN'!$A$8:$E$72,4,FALSE)</f>
        <v>0</v>
      </c>
      <c r="H362" s="29">
        <f>VLOOKUP(C357,'MASTER AKUN'!$A$8:$E$72,5,FALSE)</f>
        <v>0</v>
      </c>
    </row>
    <row r="363" spans="1:8" x14ac:dyDescent="0.25">
      <c r="A363" s="27"/>
      <c r="B363" s="27"/>
      <c r="C363" s="116"/>
      <c r="D363" s="27"/>
      <c r="E363" s="29"/>
      <c r="F363" s="29"/>
      <c r="G363" s="29"/>
      <c r="H363" s="29"/>
    </row>
    <row r="364" spans="1:8" x14ac:dyDescent="0.25">
      <c r="A364" s="27"/>
      <c r="B364" s="27"/>
      <c r="C364" s="116"/>
      <c r="D364" s="27"/>
      <c r="E364" s="29"/>
      <c r="F364" s="29"/>
      <c r="G364" s="29"/>
      <c r="H364" s="29"/>
    </row>
    <row r="366" spans="1:8" x14ac:dyDescent="0.25">
      <c r="A366" s="167" t="s">
        <v>166</v>
      </c>
      <c r="B366" s="167"/>
      <c r="C366" s="112">
        <v>31000</v>
      </c>
      <c r="E366" s="8"/>
      <c r="F366" s="8"/>
      <c r="G366" s="8"/>
      <c r="H366" s="8"/>
    </row>
    <row r="367" spans="1:8" x14ac:dyDescent="0.25">
      <c r="A367" s="167" t="s">
        <v>2</v>
      </c>
      <c r="B367" s="167"/>
      <c r="C367" s="112" t="str">
        <f>VLOOKUP(C366,'MASTER AKUN'!$A$8:$C379,2,FALSE)</f>
        <v>Modal Saham</v>
      </c>
      <c r="E367" s="8"/>
      <c r="F367" s="8"/>
      <c r="G367" s="8"/>
      <c r="H367" s="8"/>
    </row>
    <row r="368" spans="1:8" x14ac:dyDescent="0.25">
      <c r="E368" s="8"/>
      <c r="F368" s="8"/>
      <c r="G368" s="8"/>
      <c r="H368" s="8"/>
    </row>
    <row r="369" spans="1:8" x14ac:dyDescent="0.25">
      <c r="A369" s="160" t="s">
        <v>142</v>
      </c>
      <c r="B369" s="160" t="s">
        <v>127</v>
      </c>
      <c r="C369" s="169" t="s">
        <v>143</v>
      </c>
      <c r="D369" s="160" t="s">
        <v>128</v>
      </c>
      <c r="E369" s="162" t="s">
        <v>129</v>
      </c>
      <c r="F369" s="162" t="s">
        <v>130</v>
      </c>
      <c r="G369" s="160" t="s">
        <v>144</v>
      </c>
      <c r="H369" s="160"/>
    </row>
    <row r="370" spans="1:8" x14ac:dyDescent="0.25">
      <c r="A370" s="160"/>
      <c r="B370" s="160"/>
      <c r="C370" s="169"/>
      <c r="D370" s="160"/>
      <c r="E370" s="162"/>
      <c r="F370" s="162"/>
      <c r="G370" s="12" t="s">
        <v>129</v>
      </c>
      <c r="H370" s="12" t="s">
        <v>130</v>
      </c>
    </row>
    <row r="371" spans="1:8" x14ac:dyDescent="0.25">
      <c r="A371" s="27"/>
      <c r="B371" s="27"/>
      <c r="C371" s="115" t="s">
        <v>145</v>
      </c>
      <c r="D371" s="27"/>
      <c r="E371" s="29"/>
      <c r="F371" s="29"/>
      <c r="G371" s="29">
        <f>VLOOKUP(C366,'MASTER AKUN'!$A$8:$E$72,4,FALSE)</f>
        <v>0</v>
      </c>
      <c r="H371" s="29">
        <f>VLOOKUP(C366,'MASTER AKUN'!$A$8:$E$72,5,FALSE)</f>
        <v>150000000</v>
      </c>
    </row>
    <row r="372" spans="1:8" x14ac:dyDescent="0.25">
      <c r="A372" s="27"/>
      <c r="B372" s="27"/>
      <c r="C372" s="116"/>
      <c r="D372" s="27"/>
      <c r="E372" s="29"/>
      <c r="F372" s="29"/>
      <c r="G372" s="29"/>
      <c r="H372" s="29"/>
    </row>
    <row r="373" spans="1:8" x14ac:dyDescent="0.25">
      <c r="A373" s="27"/>
      <c r="B373" s="27"/>
      <c r="C373" s="116"/>
      <c r="D373" s="27"/>
      <c r="E373" s="29"/>
      <c r="F373" s="29"/>
      <c r="G373" s="29"/>
      <c r="H373" s="29"/>
    </row>
  </sheetData>
  <mergeCells count="565">
    <mergeCell ref="J254:K254"/>
    <mergeCell ref="J255:K255"/>
    <mergeCell ref="J257:J258"/>
    <mergeCell ref="K257:K258"/>
    <mergeCell ref="L257:L258"/>
    <mergeCell ref="M257:M258"/>
    <mergeCell ref="N257:N258"/>
    <mergeCell ref="P266:Q266"/>
    <mergeCell ref="O257:O258"/>
    <mergeCell ref="P257:Q257"/>
    <mergeCell ref="J263:K263"/>
    <mergeCell ref="J264:K264"/>
    <mergeCell ref="J266:J267"/>
    <mergeCell ref="K266:K267"/>
    <mergeCell ref="L266:L267"/>
    <mergeCell ref="M266:M267"/>
    <mergeCell ref="N266:N267"/>
    <mergeCell ref="O266:O267"/>
    <mergeCell ref="J246:K246"/>
    <mergeCell ref="J248:J249"/>
    <mergeCell ref="K248:K249"/>
    <mergeCell ref="L248:L249"/>
    <mergeCell ref="M248:M249"/>
    <mergeCell ref="P230:Q230"/>
    <mergeCell ref="J236:K236"/>
    <mergeCell ref="J237:K237"/>
    <mergeCell ref="J239:J240"/>
    <mergeCell ref="K239:K240"/>
    <mergeCell ref="L239:L240"/>
    <mergeCell ref="M239:M240"/>
    <mergeCell ref="N239:N240"/>
    <mergeCell ref="O239:O240"/>
    <mergeCell ref="P239:Q239"/>
    <mergeCell ref="N248:N249"/>
    <mergeCell ref="O248:O249"/>
    <mergeCell ref="P248:Q248"/>
    <mergeCell ref="J227:K227"/>
    <mergeCell ref="J228:K228"/>
    <mergeCell ref="J230:J231"/>
    <mergeCell ref="K230:K231"/>
    <mergeCell ref="L230:L231"/>
    <mergeCell ref="M230:M231"/>
    <mergeCell ref="N230:N231"/>
    <mergeCell ref="O230:O231"/>
    <mergeCell ref="J245:K245"/>
    <mergeCell ref="J218:K218"/>
    <mergeCell ref="J219:K219"/>
    <mergeCell ref="J221:J222"/>
    <mergeCell ref="K221:K222"/>
    <mergeCell ref="L221:L222"/>
    <mergeCell ref="M221:M222"/>
    <mergeCell ref="N221:N222"/>
    <mergeCell ref="O221:O222"/>
    <mergeCell ref="P221:Q221"/>
    <mergeCell ref="J210:K210"/>
    <mergeCell ref="J212:J213"/>
    <mergeCell ref="K212:K213"/>
    <mergeCell ref="L212:L213"/>
    <mergeCell ref="M212:M213"/>
    <mergeCell ref="P194:Q194"/>
    <mergeCell ref="J200:K200"/>
    <mergeCell ref="J201:K201"/>
    <mergeCell ref="J203:J204"/>
    <mergeCell ref="K203:K204"/>
    <mergeCell ref="L203:L204"/>
    <mergeCell ref="M203:M204"/>
    <mergeCell ref="N203:N204"/>
    <mergeCell ref="O203:O204"/>
    <mergeCell ref="P203:Q203"/>
    <mergeCell ref="N212:N213"/>
    <mergeCell ref="O212:O213"/>
    <mergeCell ref="P212:Q212"/>
    <mergeCell ref="J191:K191"/>
    <mergeCell ref="J192:K192"/>
    <mergeCell ref="J194:J195"/>
    <mergeCell ref="K194:K195"/>
    <mergeCell ref="L194:L195"/>
    <mergeCell ref="M194:M195"/>
    <mergeCell ref="N194:N195"/>
    <mergeCell ref="O194:O195"/>
    <mergeCell ref="J209:K209"/>
    <mergeCell ref="P176:Q176"/>
    <mergeCell ref="J182:K182"/>
    <mergeCell ref="J183:K183"/>
    <mergeCell ref="J185:J186"/>
    <mergeCell ref="K185:K186"/>
    <mergeCell ref="L185:L186"/>
    <mergeCell ref="M185:M186"/>
    <mergeCell ref="N185:N186"/>
    <mergeCell ref="O185:O186"/>
    <mergeCell ref="P185:Q185"/>
    <mergeCell ref="P158:Q158"/>
    <mergeCell ref="J164:K164"/>
    <mergeCell ref="J165:K165"/>
    <mergeCell ref="J167:J168"/>
    <mergeCell ref="K167:K168"/>
    <mergeCell ref="L167:L168"/>
    <mergeCell ref="M167:M168"/>
    <mergeCell ref="N167:N168"/>
    <mergeCell ref="O167:O168"/>
    <mergeCell ref="P167:Q167"/>
    <mergeCell ref="J158:J159"/>
    <mergeCell ref="K158:K159"/>
    <mergeCell ref="L158:L159"/>
    <mergeCell ref="M158:M159"/>
    <mergeCell ref="N158:N159"/>
    <mergeCell ref="O158:O159"/>
    <mergeCell ref="J173:K173"/>
    <mergeCell ref="J174:K174"/>
    <mergeCell ref="J176:J177"/>
    <mergeCell ref="K176:K177"/>
    <mergeCell ref="L176:L177"/>
    <mergeCell ref="M176:M177"/>
    <mergeCell ref="N176:N177"/>
    <mergeCell ref="O176:O177"/>
    <mergeCell ref="P140:Q140"/>
    <mergeCell ref="K149:K150"/>
    <mergeCell ref="L149:L150"/>
    <mergeCell ref="M149:M150"/>
    <mergeCell ref="N149:N150"/>
    <mergeCell ref="O149:O150"/>
    <mergeCell ref="P149:Q149"/>
    <mergeCell ref="J155:K155"/>
    <mergeCell ref="J156:K156"/>
    <mergeCell ref="P122:Q122"/>
    <mergeCell ref="J128:K128"/>
    <mergeCell ref="J129:K129"/>
    <mergeCell ref="J131:J132"/>
    <mergeCell ref="K131:K132"/>
    <mergeCell ref="L131:L132"/>
    <mergeCell ref="M131:M132"/>
    <mergeCell ref="N131:N132"/>
    <mergeCell ref="O131:O132"/>
    <mergeCell ref="P131:Q131"/>
    <mergeCell ref="J120:K120"/>
    <mergeCell ref="J122:J123"/>
    <mergeCell ref="K122:K123"/>
    <mergeCell ref="L122:L123"/>
    <mergeCell ref="M122:M123"/>
    <mergeCell ref="N122:N123"/>
    <mergeCell ref="O122:O123"/>
    <mergeCell ref="L140:L141"/>
    <mergeCell ref="M140:M141"/>
    <mergeCell ref="N140:N141"/>
    <mergeCell ref="O140:O141"/>
    <mergeCell ref="N104:N105"/>
    <mergeCell ref="O104:O105"/>
    <mergeCell ref="P104:Q104"/>
    <mergeCell ref="L113:L114"/>
    <mergeCell ref="M113:M114"/>
    <mergeCell ref="N113:N114"/>
    <mergeCell ref="O113:O114"/>
    <mergeCell ref="P113:Q113"/>
    <mergeCell ref="J119:K119"/>
    <mergeCell ref="J86:K86"/>
    <mergeCell ref="J87:K87"/>
    <mergeCell ref="J89:J90"/>
    <mergeCell ref="K89:K90"/>
    <mergeCell ref="L89:L90"/>
    <mergeCell ref="M89:M90"/>
    <mergeCell ref="N89:N90"/>
    <mergeCell ref="O89:O90"/>
    <mergeCell ref="P89:Q89"/>
    <mergeCell ref="N67:N68"/>
    <mergeCell ref="O67:O68"/>
    <mergeCell ref="P67:Q67"/>
    <mergeCell ref="J77:K77"/>
    <mergeCell ref="J78:K78"/>
    <mergeCell ref="J80:J81"/>
    <mergeCell ref="K80:K81"/>
    <mergeCell ref="L80:L81"/>
    <mergeCell ref="M80:M81"/>
    <mergeCell ref="N80:N81"/>
    <mergeCell ref="O80:O81"/>
    <mergeCell ref="P80:Q80"/>
    <mergeCell ref="N36:N37"/>
    <mergeCell ref="O36:O37"/>
    <mergeCell ref="J55:K55"/>
    <mergeCell ref="J56:K56"/>
    <mergeCell ref="J58:J59"/>
    <mergeCell ref="K58:K59"/>
    <mergeCell ref="L58:L59"/>
    <mergeCell ref="M58:M59"/>
    <mergeCell ref="P36:Q36"/>
    <mergeCell ref="J42:K42"/>
    <mergeCell ref="J43:K43"/>
    <mergeCell ref="J45:J46"/>
    <mergeCell ref="K45:K46"/>
    <mergeCell ref="L45:L46"/>
    <mergeCell ref="M45:M46"/>
    <mergeCell ref="N45:N46"/>
    <mergeCell ref="O45:O46"/>
    <mergeCell ref="P45:Q45"/>
    <mergeCell ref="N58:N59"/>
    <mergeCell ref="O58:O59"/>
    <mergeCell ref="P58:Q58"/>
    <mergeCell ref="N9:N10"/>
    <mergeCell ref="O9:O10"/>
    <mergeCell ref="P9:Q9"/>
    <mergeCell ref="N18:N19"/>
    <mergeCell ref="O18:O19"/>
    <mergeCell ref="P18:Q18"/>
    <mergeCell ref="J24:K24"/>
    <mergeCell ref="J25:K25"/>
    <mergeCell ref="J27:J28"/>
    <mergeCell ref="K27:K28"/>
    <mergeCell ref="L27:L28"/>
    <mergeCell ref="M27:M28"/>
    <mergeCell ref="N27:N28"/>
    <mergeCell ref="O27:O28"/>
    <mergeCell ref="P27:Q27"/>
    <mergeCell ref="L18:L19"/>
    <mergeCell ref="M18:M19"/>
    <mergeCell ref="G369:H369"/>
    <mergeCell ref="J6:K6"/>
    <mergeCell ref="J7:K7"/>
    <mergeCell ref="J9:J10"/>
    <mergeCell ref="K9:K10"/>
    <mergeCell ref="L9:L10"/>
    <mergeCell ref="M9:M10"/>
    <mergeCell ref="J33:K33"/>
    <mergeCell ref="J34:K34"/>
    <mergeCell ref="J36:J37"/>
    <mergeCell ref="K36:K37"/>
    <mergeCell ref="L36:L37"/>
    <mergeCell ref="M36:M37"/>
    <mergeCell ref="J64:K64"/>
    <mergeCell ref="J65:K65"/>
    <mergeCell ref="J67:J68"/>
    <mergeCell ref="K67:K68"/>
    <mergeCell ref="L67:L68"/>
    <mergeCell ref="M67:M68"/>
    <mergeCell ref="J101:K101"/>
    <mergeCell ref="J102:K102"/>
    <mergeCell ref="J104:J105"/>
    <mergeCell ref="L104:L105"/>
    <mergeCell ref="M104:M105"/>
    <mergeCell ref="A366:B366"/>
    <mergeCell ref="A367:B367"/>
    <mergeCell ref="A369:A370"/>
    <mergeCell ref="B369:B370"/>
    <mergeCell ref="C369:C370"/>
    <mergeCell ref="D369:D370"/>
    <mergeCell ref="E369:E370"/>
    <mergeCell ref="F369:F370"/>
    <mergeCell ref="J15:K15"/>
    <mergeCell ref="J16:K16"/>
    <mergeCell ref="J18:J19"/>
    <mergeCell ref="K18:K19"/>
    <mergeCell ref="K104:K105"/>
    <mergeCell ref="J110:K110"/>
    <mergeCell ref="J111:K111"/>
    <mergeCell ref="J113:J114"/>
    <mergeCell ref="K113:K114"/>
    <mergeCell ref="J137:K137"/>
    <mergeCell ref="J138:K138"/>
    <mergeCell ref="J140:J141"/>
    <mergeCell ref="K140:K141"/>
    <mergeCell ref="J146:K146"/>
    <mergeCell ref="J147:K147"/>
    <mergeCell ref="J149:J150"/>
    <mergeCell ref="A357:B357"/>
    <mergeCell ref="A358:B358"/>
    <mergeCell ref="A360:A361"/>
    <mergeCell ref="B360:B361"/>
    <mergeCell ref="C360:C361"/>
    <mergeCell ref="D360:D361"/>
    <mergeCell ref="E360:E361"/>
    <mergeCell ref="F360:F361"/>
    <mergeCell ref="G360:H360"/>
    <mergeCell ref="A349:B349"/>
    <mergeCell ref="A351:A352"/>
    <mergeCell ref="B351:B352"/>
    <mergeCell ref="C351:C352"/>
    <mergeCell ref="D351:D352"/>
    <mergeCell ref="G328:H328"/>
    <mergeCell ref="A340:B340"/>
    <mergeCell ref="A341:B341"/>
    <mergeCell ref="C342:C343"/>
    <mergeCell ref="D342:D343"/>
    <mergeCell ref="E342:E343"/>
    <mergeCell ref="F342:F343"/>
    <mergeCell ref="G342:H342"/>
    <mergeCell ref="E351:E352"/>
    <mergeCell ref="F351:F352"/>
    <mergeCell ref="G351:H351"/>
    <mergeCell ref="A325:B325"/>
    <mergeCell ref="A326:B326"/>
    <mergeCell ref="A328:A329"/>
    <mergeCell ref="B328:B329"/>
    <mergeCell ref="C328:C329"/>
    <mergeCell ref="D328:D329"/>
    <mergeCell ref="E328:E329"/>
    <mergeCell ref="F328:F329"/>
    <mergeCell ref="A348:B348"/>
    <mergeCell ref="A316:B316"/>
    <mergeCell ref="A317:B317"/>
    <mergeCell ref="A319:A320"/>
    <mergeCell ref="B319:B320"/>
    <mergeCell ref="C319:C320"/>
    <mergeCell ref="D319:D320"/>
    <mergeCell ref="E319:E320"/>
    <mergeCell ref="F319:F320"/>
    <mergeCell ref="G319:H319"/>
    <mergeCell ref="A308:B308"/>
    <mergeCell ref="A310:A311"/>
    <mergeCell ref="B310:B311"/>
    <mergeCell ref="C310:C311"/>
    <mergeCell ref="D310:D311"/>
    <mergeCell ref="G292:H292"/>
    <mergeCell ref="A298:B298"/>
    <mergeCell ref="A299:B299"/>
    <mergeCell ref="A301:A302"/>
    <mergeCell ref="B301:B302"/>
    <mergeCell ref="C301:C302"/>
    <mergeCell ref="D301:D302"/>
    <mergeCell ref="E301:E302"/>
    <mergeCell ref="F301:F302"/>
    <mergeCell ref="G301:H301"/>
    <mergeCell ref="E310:E311"/>
    <mergeCell ref="F310:F311"/>
    <mergeCell ref="G310:H310"/>
    <mergeCell ref="A289:B289"/>
    <mergeCell ref="A290:B290"/>
    <mergeCell ref="A292:A293"/>
    <mergeCell ref="B292:B293"/>
    <mergeCell ref="C292:C293"/>
    <mergeCell ref="D292:D293"/>
    <mergeCell ref="E292:E293"/>
    <mergeCell ref="F292:F293"/>
    <mergeCell ref="A307:B307"/>
    <mergeCell ref="A279:B279"/>
    <mergeCell ref="A280:B280"/>
    <mergeCell ref="A282:A283"/>
    <mergeCell ref="B282:B283"/>
    <mergeCell ref="C282:C283"/>
    <mergeCell ref="D282:D283"/>
    <mergeCell ref="E282:E283"/>
    <mergeCell ref="F282:F283"/>
    <mergeCell ref="G282:H282"/>
    <mergeCell ref="A268:B268"/>
    <mergeCell ref="A270:A271"/>
    <mergeCell ref="B270:B271"/>
    <mergeCell ref="C270:C271"/>
    <mergeCell ref="D270:D271"/>
    <mergeCell ref="G252:H252"/>
    <mergeCell ref="A258:B258"/>
    <mergeCell ref="A259:B259"/>
    <mergeCell ref="A261:A262"/>
    <mergeCell ref="B261:B262"/>
    <mergeCell ref="C261:C262"/>
    <mergeCell ref="D261:D262"/>
    <mergeCell ref="E261:E262"/>
    <mergeCell ref="F261:F262"/>
    <mergeCell ref="G261:H261"/>
    <mergeCell ref="E270:E271"/>
    <mergeCell ref="F270:F271"/>
    <mergeCell ref="G270:H270"/>
    <mergeCell ref="A249:B249"/>
    <mergeCell ref="A250:B250"/>
    <mergeCell ref="A252:A253"/>
    <mergeCell ref="B252:B253"/>
    <mergeCell ref="C252:C253"/>
    <mergeCell ref="D252:D253"/>
    <mergeCell ref="E252:E253"/>
    <mergeCell ref="F252:F253"/>
    <mergeCell ref="A267:B267"/>
    <mergeCell ref="A240:B240"/>
    <mergeCell ref="A241:B241"/>
    <mergeCell ref="A243:A244"/>
    <mergeCell ref="B243:B244"/>
    <mergeCell ref="C243:C244"/>
    <mergeCell ref="D243:D244"/>
    <mergeCell ref="E243:E244"/>
    <mergeCell ref="F243:F244"/>
    <mergeCell ref="G243:H243"/>
    <mergeCell ref="A232:B232"/>
    <mergeCell ref="A234:A235"/>
    <mergeCell ref="B234:B235"/>
    <mergeCell ref="C234:C235"/>
    <mergeCell ref="D234:D235"/>
    <mergeCell ref="G216:H216"/>
    <mergeCell ref="A222:B222"/>
    <mergeCell ref="A223:B223"/>
    <mergeCell ref="A225:A226"/>
    <mergeCell ref="B225:B226"/>
    <mergeCell ref="C225:C226"/>
    <mergeCell ref="D225:D226"/>
    <mergeCell ref="E225:E226"/>
    <mergeCell ref="F225:F226"/>
    <mergeCell ref="G225:H225"/>
    <mergeCell ref="E234:E235"/>
    <mergeCell ref="F234:F235"/>
    <mergeCell ref="G234:H234"/>
    <mergeCell ref="A213:B213"/>
    <mergeCell ref="A214:B214"/>
    <mergeCell ref="A216:A217"/>
    <mergeCell ref="B216:B217"/>
    <mergeCell ref="C216:C217"/>
    <mergeCell ref="D216:D217"/>
    <mergeCell ref="E216:E217"/>
    <mergeCell ref="F216:F217"/>
    <mergeCell ref="A231:B231"/>
    <mergeCell ref="A204:B204"/>
    <mergeCell ref="A205:B205"/>
    <mergeCell ref="A207:A208"/>
    <mergeCell ref="B207:B208"/>
    <mergeCell ref="C207:C208"/>
    <mergeCell ref="D207:D208"/>
    <mergeCell ref="E207:E208"/>
    <mergeCell ref="F207:F208"/>
    <mergeCell ref="G207:H207"/>
    <mergeCell ref="A196:B196"/>
    <mergeCell ref="A198:A199"/>
    <mergeCell ref="B198:B199"/>
    <mergeCell ref="C198:C199"/>
    <mergeCell ref="D198:D199"/>
    <mergeCell ref="G180:H180"/>
    <mergeCell ref="A186:B186"/>
    <mergeCell ref="A187:B187"/>
    <mergeCell ref="A189:A190"/>
    <mergeCell ref="B189:B190"/>
    <mergeCell ref="C189:C190"/>
    <mergeCell ref="D189:D190"/>
    <mergeCell ref="E189:E190"/>
    <mergeCell ref="F189:F190"/>
    <mergeCell ref="G189:H189"/>
    <mergeCell ref="E198:E199"/>
    <mergeCell ref="F198:F199"/>
    <mergeCell ref="G198:H198"/>
    <mergeCell ref="A177:B177"/>
    <mergeCell ref="A178:B178"/>
    <mergeCell ref="A180:A181"/>
    <mergeCell ref="B180:B181"/>
    <mergeCell ref="C180:C181"/>
    <mergeCell ref="D180:D181"/>
    <mergeCell ref="E180:E181"/>
    <mergeCell ref="F180:F181"/>
    <mergeCell ref="A195:B195"/>
    <mergeCell ref="A166:B166"/>
    <mergeCell ref="A167:B167"/>
    <mergeCell ref="A169:A170"/>
    <mergeCell ref="B169:B170"/>
    <mergeCell ref="C169:C170"/>
    <mergeCell ref="D169:D170"/>
    <mergeCell ref="E169:E170"/>
    <mergeCell ref="F169:F170"/>
    <mergeCell ref="G169:H169"/>
    <mergeCell ref="A158:B158"/>
    <mergeCell ref="A160:A161"/>
    <mergeCell ref="B160:B161"/>
    <mergeCell ref="C160:C161"/>
    <mergeCell ref="D160:D161"/>
    <mergeCell ref="G126:H126"/>
    <mergeCell ref="A132:B132"/>
    <mergeCell ref="A133:B133"/>
    <mergeCell ref="A135:A136"/>
    <mergeCell ref="B135:B136"/>
    <mergeCell ref="C135:C136"/>
    <mergeCell ref="D135:D136"/>
    <mergeCell ref="E135:E136"/>
    <mergeCell ref="F135:F136"/>
    <mergeCell ref="G135:H135"/>
    <mergeCell ref="E160:E161"/>
    <mergeCell ref="F160:F161"/>
    <mergeCell ref="G160:H160"/>
    <mergeCell ref="A123:B123"/>
    <mergeCell ref="A124:B124"/>
    <mergeCell ref="A126:A127"/>
    <mergeCell ref="B126:B127"/>
    <mergeCell ref="C126:C127"/>
    <mergeCell ref="D126:D127"/>
    <mergeCell ref="E126:E127"/>
    <mergeCell ref="F126:F127"/>
    <mergeCell ref="A157:B157"/>
    <mergeCell ref="A114:B114"/>
    <mergeCell ref="A115:B115"/>
    <mergeCell ref="A117:A118"/>
    <mergeCell ref="B117:B118"/>
    <mergeCell ref="C117:C118"/>
    <mergeCell ref="D117:D118"/>
    <mergeCell ref="E117:E118"/>
    <mergeCell ref="F117:F118"/>
    <mergeCell ref="G117:H117"/>
    <mergeCell ref="A106:B106"/>
    <mergeCell ref="A108:A109"/>
    <mergeCell ref="B108:B109"/>
    <mergeCell ref="C108:C109"/>
    <mergeCell ref="D108:D109"/>
    <mergeCell ref="G82:H82"/>
    <mergeCell ref="A88:B88"/>
    <mergeCell ref="A89:B89"/>
    <mergeCell ref="A91:A92"/>
    <mergeCell ref="B91:B92"/>
    <mergeCell ref="C91:C92"/>
    <mergeCell ref="D91:D92"/>
    <mergeCell ref="E91:E92"/>
    <mergeCell ref="F91:F92"/>
    <mergeCell ref="G91:H91"/>
    <mergeCell ref="E108:E109"/>
    <mergeCell ref="F108:F109"/>
    <mergeCell ref="G108:H108"/>
    <mergeCell ref="A79:B79"/>
    <mergeCell ref="A80:B80"/>
    <mergeCell ref="A82:A83"/>
    <mergeCell ref="B82:B83"/>
    <mergeCell ref="C82:C83"/>
    <mergeCell ref="D82:D83"/>
    <mergeCell ref="E82:E83"/>
    <mergeCell ref="F82:F83"/>
    <mergeCell ref="A105:B105"/>
    <mergeCell ref="A63:B63"/>
    <mergeCell ref="A64:B64"/>
    <mergeCell ref="A66:A67"/>
    <mergeCell ref="B66:B67"/>
    <mergeCell ref="C66:C67"/>
    <mergeCell ref="D66:D67"/>
    <mergeCell ref="E66:E67"/>
    <mergeCell ref="F66:F67"/>
    <mergeCell ref="G66:H66"/>
    <mergeCell ref="A47:B47"/>
    <mergeCell ref="A49:A50"/>
    <mergeCell ref="B49:B50"/>
    <mergeCell ref="C49:C50"/>
    <mergeCell ref="D49:D50"/>
    <mergeCell ref="G31:H31"/>
    <mergeCell ref="A37:B37"/>
    <mergeCell ref="A38:B38"/>
    <mergeCell ref="A40:A41"/>
    <mergeCell ref="B40:B41"/>
    <mergeCell ref="C40:C41"/>
    <mergeCell ref="D40:D41"/>
    <mergeCell ref="E40:E41"/>
    <mergeCell ref="F40:F41"/>
    <mergeCell ref="G40:H40"/>
    <mergeCell ref="E49:E50"/>
    <mergeCell ref="F49:F50"/>
    <mergeCell ref="G49:H49"/>
    <mergeCell ref="A28:B28"/>
    <mergeCell ref="A29:B29"/>
    <mergeCell ref="A31:A32"/>
    <mergeCell ref="B31:B32"/>
    <mergeCell ref="C31:C32"/>
    <mergeCell ref="D31:D32"/>
    <mergeCell ref="E31:E32"/>
    <mergeCell ref="F31:F32"/>
    <mergeCell ref="A46:B46"/>
    <mergeCell ref="A15:B15"/>
    <mergeCell ref="A16:B16"/>
    <mergeCell ref="A18:A19"/>
    <mergeCell ref="B18:B19"/>
    <mergeCell ref="C18:C19"/>
    <mergeCell ref="D18:D19"/>
    <mergeCell ref="E18:E19"/>
    <mergeCell ref="F18:F19"/>
    <mergeCell ref="G18:H18"/>
    <mergeCell ref="A6:B6"/>
    <mergeCell ref="A7:B7"/>
    <mergeCell ref="A9:A10"/>
    <mergeCell ref="B9:B10"/>
    <mergeCell ref="C9:C10"/>
    <mergeCell ref="D9:D10"/>
    <mergeCell ref="E9:E10"/>
    <mergeCell ref="F9:F10"/>
    <mergeCell ref="G9:H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0"/>
  <sheetViews>
    <sheetView workbookViewId="0">
      <selection activeCell="D10" sqref="D10"/>
    </sheetView>
  </sheetViews>
  <sheetFormatPr defaultRowHeight="15" x14ac:dyDescent="0.25"/>
  <cols>
    <col min="1" max="1" width="9.140625" style="2"/>
    <col min="2" max="2" width="39.85546875" style="37" customWidth="1"/>
    <col min="4" max="4" width="18.42578125" style="8" customWidth="1"/>
    <col min="5" max="5" width="21.140625" style="8" customWidth="1"/>
    <col min="6" max="6" width="18.42578125" style="8" customWidth="1"/>
    <col min="7" max="7" width="18.28515625" style="8" customWidth="1"/>
    <col min="8" max="8" width="16.7109375" style="8" customWidth="1"/>
    <col min="9" max="9" width="21.5703125" style="8" customWidth="1"/>
  </cols>
  <sheetData>
    <row r="1" spans="1:9" x14ac:dyDescent="0.25">
      <c r="A1" s="147" t="s">
        <v>291</v>
      </c>
      <c r="B1" s="148"/>
      <c r="C1" s="148"/>
      <c r="D1" s="148"/>
      <c r="E1" s="148"/>
      <c r="F1" s="148"/>
      <c r="G1" s="148"/>
      <c r="H1" s="148"/>
      <c r="I1" s="149"/>
    </row>
    <row r="2" spans="1:9" x14ac:dyDescent="0.25">
      <c r="A2" s="150" t="s">
        <v>192</v>
      </c>
      <c r="B2" s="151"/>
      <c r="C2" s="151"/>
      <c r="D2" s="151"/>
      <c r="E2" s="151"/>
      <c r="F2" s="151"/>
      <c r="G2" s="151"/>
      <c r="H2" s="151"/>
      <c r="I2" s="152"/>
    </row>
    <row r="3" spans="1:9" ht="15.75" thickBot="1" x14ac:dyDescent="0.3">
      <c r="A3" s="153" t="s">
        <v>289</v>
      </c>
      <c r="B3" s="154"/>
      <c r="C3" s="154"/>
      <c r="D3" s="154"/>
      <c r="E3" s="154"/>
      <c r="F3" s="154"/>
      <c r="G3" s="154"/>
      <c r="H3" s="154"/>
      <c r="I3" s="155"/>
    </row>
    <row r="4" spans="1:9" x14ac:dyDescent="0.25">
      <c r="A4" s="16"/>
    </row>
    <row r="5" spans="1:9" ht="15.75" thickBot="1" x14ac:dyDescent="0.3"/>
    <row r="6" spans="1:9" x14ac:dyDescent="0.25">
      <c r="A6" s="139" t="s">
        <v>187</v>
      </c>
      <c r="B6" s="176" t="s">
        <v>2</v>
      </c>
      <c r="C6" s="178" t="s">
        <v>188</v>
      </c>
      <c r="D6" s="140" t="s">
        <v>189</v>
      </c>
      <c r="E6" s="180"/>
      <c r="F6" s="140" t="s">
        <v>190</v>
      </c>
      <c r="G6" s="180"/>
      <c r="H6" s="140" t="s">
        <v>191</v>
      </c>
      <c r="I6" s="142"/>
    </row>
    <row r="7" spans="1:9" x14ac:dyDescent="0.25">
      <c r="A7" s="139"/>
      <c r="B7" s="177"/>
      <c r="C7" s="179"/>
      <c r="D7" s="39" t="s">
        <v>129</v>
      </c>
      <c r="E7" s="39" t="s">
        <v>130</v>
      </c>
      <c r="F7" s="39" t="s">
        <v>129</v>
      </c>
      <c r="G7" s="39" t="s">
        <v>130</v>
      </c>
      <c r="H7" s="39" t="s">
        <v>129</v>
      </c>
      <c r="I7" s="59" t="s">
        <v>130</v>
      </c>
    </row>
    <row r="8" spans="1:9" x14ac:dyDescent="0.25">
      <c r="A8" s="2">
        <v>11101</v>
      </c>
      <c r="B8" s="38" t="str">
        <f>VLOOKUP(A8,'MASTER AKUN'!$A$8:$E$72,2,FALSE)</f>
        <v>Kas Di Tangan</v>
      </c>
      <c r="C8" s="2"/>
      <c r="D8" s="40">
        <f>VLOOKUP(A8,'MASTER AKUN'!$A$8:$E$72,4,FALSE)</f>
        <v>2500000</v>
      </c>
      <c r="E8" s="40">
        <f>VLOOKUP(A8,'MASTER AKUN'!$A$8:$E$72,5,FALSE)</f>
        <v>0</v>
      </c>
      <c r="F8" s="7">
        <f ca="1">SUMIF('JURNAL UMUM'!$A$9:$H$120,'NERACA SALDO'!A8,'JURNAL UMUM'!$G$9:$G$120)</f>
        <v>60685750</v>
      </c>
      <c r="G8" s="7">
        <f ca="1">SUMIF('JURNAL UMUM'!$A$9:$H$120,'NERACA SALDO'!A8,'JURNAL UMUM'!$H$9:$H$120)</f>
        <v>412500</v>
      </c>
      <c r="H8" s="7">
        <f ca="1">IF(D8+F8&gt;E8+G8,(D8+F8)-(E8+G8),0)</f>
        <v>62773250</v>
      </c>
      <c r="I8" s="7">
        <f ca="1">IF(E8+G8&gt;D8+F8,(E8+G8)-(D8+F8),0)</f>
        <v>0</v>
      </c>
    </row>
    <row r="9" spans="1:9" x14ac:dyDescent="0.25">
      <c r="A9" s="2">
        <v>11102</v>
      </c>
      <c r="B9" s="38" t="str">
        <f>VLOOKUP(A9,'MASTER AKUN'!$A$8:$E$72,2,FALSE)</f>
        <v>Kas Kecil</v>
      </c>
      <c r="C9" s="2"/>
      <c r="D9" s="40">
        <f>VLOOKUP(A9,'MASTER AKUN'!$A$8:$E$72,4,FALSE)</f>
        <v>750000</v>
      </c>
      <c r="E9" s="40">
        <f>VLOOKUP(A9,'MASTER AKUN'!$A$8:$E$72,5,FALSE)</f>
        <v>0</v>
      </c>
      <c r="F9" s="7">
        <f ca="1">SUMIF('JURNAL UMUM'!$A$9:$H$120,'NERACA SALDO'!A9,'JURNAL UMUM'!$G$9:$G$120)</f>
        <v>0</v>
      </c>
      <c r="G9" s="7">
        <f ca="1">SUMIF('JURNAL UMUM'!$A$9:$H$120,'NERACA SALDO'!A9,'JURNAL UMUM'!$H$9:$H$120)</f>
        <v>0</v>
      </c>
      <c r="H9" s="7">
        <f t="shared" ref="H9:H53" ca="1" si="0">IF(D9+F9&gt;E9+G9,(D9+F9)-(E9+G9),0)</f>
        <v>750000</v>
      </c>
      <c r="I9" s="7">
        <f t="shared" ref="I9:I53" ca="1" si="1">IF(E9+G9&gt;D9+F9,(E9+G9)-(D9+F9),0)</f>
        <v>0</v>
      </c>
    </row>
    <row r="10" spans="1:9" x14ac:dyDescent="0.25">
      <c r="A10" s="2">
        <v>11201</v>
      </c>
      <c r="B10" s="38" t="str">
        <f>VLOOKUP(A10,'MASTER AKUN'!$A$8:$E$72,2,FALSE)</f>
        <v>Bank BCA</v>
      </c>
      <c r="C10" s="2"/>
      <c r="D10" s="40">
        <f>VLOOKUP(A10,'MASTER AKUN'!$A$8:$E$72,4,FALSE)</f>
        <v>45000000</v>
      </c>
      <c r="E10" s="40">
        <f>VLOOKUP(A10,'MASTER AKUN'!$A$8:$E$72,5,FALSE)</f>
        <v>0</v>
      </c>
      <c r="F10" s="7">
        <f ca="1">SUMIF('JURNAL UMUM'!$A$9:$H$120,'NERACA SALDO'!A10,'JURNAL UMUM'!$G$9:$G$120)</f>
        <v>45900000</v>
      </c>
      <c r="G10" s="7">
        <f ca="1">SUMIF('JURNAL UMUM'!$A$9:$H$120,'NERACA SALDO'!A10,'JURNAL UMUM'!$H$9:$H$120)</f>
        <v>69025000</v>
      </c>
      <c r="H10" s="7">
        <f t="shared" ca="1" si="0"/>
        <v>21875000</v>
      </c>
      <c r="I10" s="7">
        <f t="shared" ca="1" si="1"/>
        <v>0</v>
      </c>
    </row>
    <row r="11" spans="1:9" x14ac:dyDescent="0.25">
      <c r="A11" s="2">
        <v>11202</v>
      </c>
      <c r="B11" s="38" t="str">
        <f>VLOOKUP(A11,'MASTER AKUN'!$A$8:$E$72,2,FALSE)</f>
        <v>Bank Mandiri</v>
      </c>
      <c r="C11" s="2"/>
      <c r="D11" s="40">
        <f>VLOOKUP(A11,'MASTER AKUN'!$A$8:$E$72,4,FALSE)</f>
        <v>25000000</v>
      </c>
      <c r="E11" s="40">
        <f>VLOOKUP(A11,'MASTER AKUN'!$A$8:$E$72,5,FALSE)</f>
        <v>0</v>
      </c>
      <c r="F11" s="7">
        <f ca="1">SUMIF('JURNAL UMUM'!$A$9:$H$120,'NERACA SALDO'!A11,'JURNAL UMUM'!$G$9:$G$120)</f>
        <v>71899000</v>
      </c>
      <c r="G11" s="7">
        <f ca="1">SUMIF('JURNAL UMUM'!$A$9:$H$120,'NERACA SALDO'!A11,'JURNAL UMUM'!$H$9:$H$120)</f>
        <v>44887500</v>
      </c>
      <c r="H11" s="7">
        <f t="shared" ca="1" si="0"/>
        <v>52011500</v>
      </c>
      <c r="I11" s="7">
        <f t="shared" ca="1" si="1"/>
        <v>0</v>
      </c>
    </row>
    <row r="12" spans="1:9" x14ac:dyDescent="0.25">
      <c r="A12" s="2">
        <v>11301</v>
      </c>
      <c r="B12" s="38" t="str">
        <f>VLOOKUP(A12,'MASTER AKUN'!$A$8:$E$72,2,FALSE)</f>
        <v xml:space="preserve">Piutang Usaha </v>
      </c>
      <c r="C12" s="2"/>
      <c r="D12" s="40">
        <f>VLOOKUP(A12,'MASTER AKUN'!$A$8:$E$72,4,FALSE)</f>
        <v>47500000</v>
      </c>
      <c r="E12" s="40">
        <f>VLOOKUP(A12,'MASTER AKUN'!$A$8:$E$72,5,FALSE)</f>
        <v>0</v>
      </c>
      <c r="F12" s="7">
        <f ca="1">SUMIF('JURNAL UMUM'!$A$9:$H$120,'NERACA SALDO'!A12,'JURNAL UMUM'!$G$9:$G$120)</f>
        <v>59960000</v>
      </c>
      <c r="G12" s="7">
        <f ca="1">SUMIF('JURNAL UMUM'!$A$9:$H$120,'NERACA SALDO'!A12,'JURNAL UMUM'!$H$9:$H$120)</f>
        <v>49425000</v>
      </c>
      <c r="H12" s="7">
        <f t="shared" ca="1" si="0"/>
        <v>58035000</v>
      </c>
      <c r="I12" s="7">
        <f t="shared" ca="1" si="1"/>
        <v>0</v>
      </c>
    </row>
    <row r="13" spans="1:9" x14ac:dyDescent="0.25">
      <c r="A13" s="2">
        <v>11302</v>
      </c>
      <c r="B13" s="38" t="str">
        <f>VLOOKUP(A13,'MASTER AKUN'!$A$8:$E$72,2,FALSE)</f>
        <v>Cadangan Piutang Tak Tertagih</v>
      </c>
      <c r="C13" s="2"/>
      <c r="D13" s="40">
        <f>VLOOKUP(A13,'MASTER AKUN'!$A$8:$E$72,4,FALSE)</f>
        <v>0</v>
      </c>
      <c r="E13" s="40">
        <f>VLOOKUP(A13,'MASTER AKUN'!$A$8:$E$72,5,FALSE)</f>
        <v>0</v>
      </c>
      <c r="F13" s="7">
        <f ca="1">SUMIF('JURNAL UMUM'!$A$9:$H$120,'NERACA SALDO'!A13,'JURNAL UMUM'!$G$9:$G$120)</f>
        <v>0</v>
      </c>
      <c r="G13" s="7">
        <f ca="1">SUMIF('JURNAL UMUM'!$A$9:$H$120,'NERACA SALDO'!A13,'JURNAL UMUM'!$H$9:$H$120)</f>
        <v>2901750</v>
      </c>
      <c r="H13" s="7">
        <f t="shared" ca="1" si="0"/>
        <v>0</v>
      </c>
      <c r="I13" s="7">
        <f t="shared" ca="1" si="1"/>
        <v>2901750</v>
      </c>
    </row>
    <row r="14" spans="1:9" x14ac:dyDescent="0.25">
      <c r="A14" s="2">
        <v>11401</v>
      </c>
      <c r="B14" s="38" t="str">
        <f>VLOOKUP(A14,'MASTER AKUN'!$A$8:$E$72,2,FALSE)</f>
        <v>Piutang Karyawan</v>
      </c>
      <c r="C14" s="2"/>
      <c r="D14" s="40">
        <f>VLOOKUP(A14,'MASTER AKUN'!$A$8:$E$72,4,FALSE)</f>
        <v>0</v>
      </c>
      <c r="E14" s="40">
        <f>VLOOKUP(A14,'MASTER AKUN'!$A$8:$E$72,5,FALSE)</f>
        <v>0</v>
      </c>
      <c r="F14" s="7">
        <f ca="1">SUMIF('JURNAL UMUM'!$A$9:$H$120,'NERACA SALDO'!A14,'JURNAL UMUM'!$G$9:$G$120)</f>
        <v>2500000</v>
      </c>
      <c r="G14" s="7">
        <f ca="1">SUMIF('JURNAL UMUM'!$A$9:$H$120,'NERACA SALDO'!A14,'JURNAL UMUM'!$H$9:$H$120)</f>
        <v>500000</v>
      </c>
      <c r="H14" s="7">
        <f t="shared" ca="1" si="0"/>
        <v>2000000</v>
      </c>
      <c r="I14" s="7">
        <f t="shared" ca="1" si="1"/>
        <v>0</v>
      </c>
    </row>
    <row r="15" spans="1:9" x14ac:dyDescent="0.25">
      <c r="A15" s="2">
        <v>11500</v>
      </c>
      <c r="B15" s="38" t="str">
        <f>VLOOKUP(A15,'MASTER AKUN'!$A$8:$E$72,2,FALSE)</f>
        <v>PERSEDIAAN BARANG DAGANGAN</v>
      </c>
      <c r="C15" s="2"/>
      <c r="D15" s="40">
        <f>VLOOKUP(A15,'MASTER AKUN'!$A$8:$E$72,4,FALSE)</f>
        <v>166380000</v>
      </c>
      <c r="E15" s="40">
        <f>VLOOKUP(A15,'MASTER AKUN'!$A$8:$E$72,5,FALSE)</f>
        <v>0</v>
      </c>
      <c r="F15" s="7">
        <f ca="1">SUMIF('JURNAL UMUM'!$A$9:$H$120,'NERACA SALDO'!A15,'JURNAL UMUM'!$G$9:$G$120)</f>
        <v>23475000</v>
      </c>
      <c r="G15" s="7">
        <f ca="1">SUMIF('JURNAL UMUM'!$A$9:$H$120,'NERACA SALDO'!A15,'JURNAL UMUM'!$H$9:$H$120)</f>
        <v>118390000</v>
      </c>
      <c r="H15" s="7">
        <f t="shared" ca="1" si="0"/>
        <v>71465000</v>
      </c>
      <c r="I15" s="7">
        <f t="shared" ca="1" si="1"/>
        <v>0</v>
      </c>
    </row>
    <row r="16" spans="1:9" x14ac:dyDescent="0.25">
      <c r="A16" s="2">
        <v>11601</v>
      </c>
      <c r="B16" s="38" t="str">
        <f>VLOOKUP(A16,'MASTER AKUN'!$A$8:$E$72,2,FALSE)</f>
        <v>PPN Masukan</v>
      </c>
      <c r="C16" s="2"/>
      <c r="D16" s="40">
        <f>VLOOKUP(A16,'MASTER AKUN'!$A$8:$E$72,4,FALSE)</f>
        <v>0</v>
      </c>
      <c r="E16" s="40">
        <f>VLOOKUP(A16,'MASTER AKUN'!$A$8:$E$72,5,FALSE)</f>
        <v>0</v>
      </c>
      <c r="F16" s="7">
        <f ca="1">SUMIF('JURNAL UMUM'!$A$9:$H$120,'NERACA SALDO'!A16,'JURNAL UMUM'!$G$9:$G$120)</f>
        <v>2425000</v>
      </c>
      <c r="G16" s="7">
        <f ca="1">SUMIF('JURNAL UMUM'!$A$9:$H$120,'NERACA SALDO'!A16,'JURNAL UMUM'!$H$9:$H$120)</f>
        <v>32500</v>
      </c>
      <c r="H16" s="7">
        <f t="shared" ca="1" si="0"/>
        <v>2392500</v>
      </c>
      <c r="I16" s="7">
        <f t="shared" ca="1" si="1"/>
        <v>0</v>
      </c>
    </row>
    <row r="17" spans="1:9" x14ac:dyDescent="0.25">
      <c r="A17" s="2">
        <v>11602</v>
      </c>
      <c r="B17" s="38" t="str">
        <f>VLOOKUP(A17,'MASTER AKUN'!$A$8:$E$72,2,FALSE)</f>
        <v>Uang Muka Pembelian</v>
      </c>
      <c r="C17" s="2"/>
      <c r="D17" s="40">
        <f>VLOOKUP(A17,'MASTER AKUN'!$A$8:$E$72,4,FALSE)</f>
        <v>0</v>
      </c>
      <c r="E17" s="40">
        <f>VLOOKUP(A17,'MASTER AKUN'!$A$8:$E$72,5,FALSE)</f>
        <v>0</v>
      </c>
      <c r="F17" s="7">
        <f ca="1">SUMIF('JURNAL UMUM'!$A$9:$H$120,'NERACA SALDO'!A17,'JURNAL UMUM'!$G$9:$G$120)</f>
        <v>6000000</v>
      </c>
      <c r="G17" s="7">
        <f ca="1">SUMIF('JURNAL UMUM'!$A$9:$H$120,'NERACA SALDO'!A17,'JURNAL UMUM'!$H$9:$H$120)</f>
        <v>6000000</v>
      </c>
      <c r="H17" s="7">
        <f t="shared" ca="1" si="0"/>
        <v>0</v>
      </c>
      <c r="I17" s="7">
        <f t="shared" ca="1" si="1"/>
        <v>0</v>
      </c>
    </row>
    <row r="18" spans="1:9" x14ac:dyDescent="0.25">
      <c r="A18" s="2">
        <v>12101</v>
      </c>
      <c r="B18" s="38" t="str">
        <f>VLOOKUP(A18,'MASTER AKUN'!$A$8:$E$72,2,FALSE)</f>
        <v>Peralatan Kantor</v>
      </c>
      <c r="C18" s="2"/>
      <c r="D18" s="40">
        <f>VLOOKUP(A18,'MASTER AKUN'!$A$8:$E$72,4,FALSE)</f>
        <v>25000000</v>
      </c>
      <c r="E18" s="40">
        <f>VLOOKUP(A18,'MASTER AKUN'!$A$8:$E$72,5,FALSE)</f>
        <v>0</v>
      </c>
      <c r="F18" s="7">
        <f ca="1">SUMIF('JURNAL UMUM'!$A$9:$H$120,'NERACA SALDO'!A18,'JURNAL UMUM'!$G$9:$G$120)</f>
        <v>0</v>
      </c>
      <c r="G18" s="7">
        <f ca="1">SUMIF('JURNAL UMUM'!$A$9:$H$120,'NERACA SALDO'!A18,'JURNAL UMUM'!$H$9:$H$120)</f>
        <v>0</v>
      </c>
      <c r="H18" s="7">
        <f t="shared" ca="1" si="0"/>
        <v>25000000</v>
      </c>
      <c r="I18" s="7">
        <f t="shared" ca="1" si="1"/>
        <v>0</v>
      </c>
    </row>
    <row r="19" spans="1:9" x14ac:dyDescent="0.25">
      <c r="A19" s="2">
        <v>12102</v>
      </c>
      <c r="B19" s="38" t="str">
        <f>VLOOKUP(A19,'MASTER AKUN'!$A$8:$E$72,2,FALSE)</f>
        <v>Akumulasi Penyusutan Peralatan Kantor</v>
      </c>
      <c r="C19" s="2"/>
      <c r="D19" s="40">
        <f>VLOOKUP(A19,'MASTER AKUN'!$A$8:$E$72,4,FALSE)</f>
        <v>0</v>
      </c>
      <c r="E19" s="40">
        <f>VLOOKUP(A19,'MASTER AKUN'!$A$8:$E$72,5,FALSE)</f>
        <v>7500000</v>
      </c>
      <c r="F19" s="7">
        <f ca="1">SUMIF('JURNAL UMUM'!$A$9:$H$120,'NERACA SALDO'!A19,'JURNAL UMUM'!$G$9:$G$120)</f>
        <v>0</v>
      </c>
      <c r="G19" s="7">
        <f ca="1">SUMIF('JURNAL UMUM'!$A$9:$H$120,'NERACA SALDO'!A19,'JURNAL UMUM'!$H$9:$H$120)</f>
        <v>400000</v>
      </c>
      <c r="H19" s="7">
        <f t="shared" ca="1" si="0"/>
        <v>0</v>
      </c>
      <c r="I19" s="7">
        <f t="shared" ca="1" si="1"/>
        <v>7900000</v>
      </c>
    </row>
    <row r="20" spans="1:9" x14ac:dyDescent="0.25">
      <c r="A20" s="2">
        <v>12201</v>
      </c>
      <c r="B20" s="38" t="str">
        <f>VLOOKUP(A20,'MASTER AKUN'!$A$8:$E$72,2,FALSE)</f>
        <v>Kendaraan</v>
      </c>
      <c r="C20" s="2"/>
      <c r="D20" s="40">
        <f>VLOOKUP(A20,'MASTER AKUN'!$A$8:$E$72,4,FALSE)</f>
        <v>45000000</v>
      </c>
      <c r="E20" s="40">
        <f>VLOOKUP(A20,'MASTER AKUN'!$A$8:$E$72,5,FALSE)</f>
        <v>0</v>
      </c>
      <c r="F20" s="7">
        <f ca="1">SUMIF('JURNAL UMUM'!$A$9:$H$120,'NERACA SALDO'!A20,'JURNAL UMUM'!$G$9:$G$120)</f>
        <v>11500000</v>
      </c>
      <c r="G20" s="7">
        <f ca="1">SUMIF('JURNAL UMUM'!$A$9:$H$120,'NERACA SALDO'!A20,'JURNAL UMUM'!$H$9:$H$120)</f>
        <v>6000000</v>
      </c>
      <c r="H20" s="7">
        <f t="shared" ca="1" si="0"/>
        <v>50500000</v>
      </c>
      <c r="I20" s="7">
        <f t="shared" ca="1" si="1"/>
        <v>0</v>
      </c>
    </row>
    <row r="21" spans="1:9" x14ac:dyDescent="0.25">
      <c r="A21" s="2">
        <v>12202</v>
      </c>
      <c r="B21" s="38" t="str">
        <f>VLOOKUP(A21,'MASTER AKUN'!$A$8:$E$72,2,FALSE)</f>
        <v>Akumulasi Penyusutan Kendaraan</v>
      </c>
      <c r="C21" s="2"/>
      <c r="D21" s="40">
        <f>VLOOKUP(A21,'MASTER AKUN'!$A$8:$E$72,4,FALSE)</f>
        <v>0</v>
      </c>
      <c r="E21" s="40">
        <f>VLOOKUP(A21,'MASTER AKUN'!$A$8:$E$72,5,FALSE)</f>
        <v>25000000</v>
      </c>
      <c r="F21" s="7">
        <f ca="1">SUMIF('JURNAL UMUM'!$A$9:$H$120,'NERACA SALDO'!A21,'JURNAL UMUM'!$G$9:$G$120)</f>
        <v>1500000</v>
      </c>
      <c r="G21" s="7">
        <f ca="1">SUMIF('JURNAL UMUM'!$A$9:$H$120,'NERACA SALDO'!A21,'JURNAL UMUM'!$H$9:$H$120)</f>
        <v>500000</v>
      </c>
      <c r="H21" s="7">
        <f t="shared" ca="1" si="0"/>
        <v>0</v>
      </c>
      <c r="I21" s="7">
        <f t="shared" ca="1" si="1"/>
        <v>24000000</v>
      </c>
    </row>
    <row r="22" spans="1:9" x14ac:dyDescent="0.25">
      <c r="A22" s="2">
        <v>21100</v>
      </c>
      <c r="B22" s="38" t="str">
        <f>VLOOKUP(A22,'MASTER AKUN'!$A$8:$E$72,2,FALSE)</f>
        <v>Hutang Usaha</v>
      </c>
      <c r="C22" s="2"/>
      <c r="D22" s="40">
        <f>VLOOKUP(A22,'MASTER AKUN'!$A$8:$E$72,4,FALSE)</f>
        <v>0</v>
      </c>
      <c r="E22" s="40">
        <f>VLOOKUP(A22,'MASTER AKUN'!$A$8:$E$72,5,FALSE)</f>
        <v>75000000</v>
      </c>
      <c r="F22" s="7">
        <f ca="1">SUMIF('JURNAL UMUM'!$A$9:$H$120,'NERACA SALDO'!A22,'JURNAL UMUM'!$G$9:$G$120)</f>
        <v>46357500</v>
      </c>
      <c r="G22" s="7">
        <f ca="1">SUMIF('JURNAL UMUM'!$A$9:$H$120,'NERACA SALDO'!A22,'JURNAL UMUM'!$H$9:$H$120)</f>
        <v>17925000</v>
      </c>
      <c r="H22" s="7">
        <f t="shared" ca="1" si="0"/>
        <v>0</v>
      </c>
      <c r="I22" s="7">
        <f t="shared" ca="1" si="1"/>
        <v>46567500</v>
      </c>
    </row>
    <row r="23" spans="1:9" x14ac:dyDescent="0.25">
      <c r="A23" s="2">
        <v>21200</v>
      </c>
      <c r="B23" s="38" t="str">
        <f>VLOOKUP(A23,'MASTER AKUN'!$A$8:$E$72,2,FALSE)</f>
        <v>Pendapatan Diterima Di Muka-Jasa Kirim</v>
      </c>
      <c r="C23" s="2"/>
      <c r="D23" s="40">
        <f>VLOOKUP(A23,'MASTER AKUN'!$A$8:$E$72,4,FALSE)</f>
        <v>0</v>
      </c>
      <c r="E23" s="40">
        <f>VLOOKUP(A23,'MASTER AKUN'!$A$8:$E$72,5,FALSE)</f>
        <v>0</v>
      </c>
      <c r="F23" s="7">
        <f ca="1">SUMIF('JURNAL UMUM'!$A$9:$H$120,'NERACA SALDO'!A23,'JURNAL UMUM'!$G$9:$G$120)</f>
        <v>0</v>
      </c>
      <c r="G23" s="7">
        <f ca="1">SUMIF('JURNAL UMUM'!$A$9:$H$120,'NERACA SALDO'!A23,'JURNAL UMUM'!$H$9:$H$120)</f>
        <v>200000</v>
      </c>
      <c r="H23" s="7">
        <f t="shared" ca="1" si="0"/>
        <v>0</v>
      </c>
      <c r="I23" s="7">
        <f t="shared" ca="1" si="1"/>
        <v>200000</v>
      </c>
    </row>
    <row r="24" spans="1:9" x14ac:dyDescent="0.25">
      <c r="A24" s="2">
        <v>21300</v>
      </c>
      <c r="B24" s="38" t="str">
        <f>VLOOKUP(A24,'MASTER AKUN'!$A$8:$E$72,2,FALSE)</f>
        <v>Hutang Bunga</v>
      </c>
      <c r="C24" s="2"/>
      <c r="D24" s="40">
        <f>VLOOKUP(A24,'MASTER AKUN'!$A$8:$E$72,4,FALSE)</f>
        <v>0</v>
      </c>
      <c r="E24" s="40">
        <f>VLOOKUP(A24,'MASTER AKUN'!$A$8:$E$72,5,FALSE)</f>
        <v>0</v>
      </c>
      <c r="F24" s="7">
        <f ca="1">SUMIF('JURNAL UMUM'!$A$9:$H$120,'NERACA SALDO'!A24,'JURNAL UMUM'!$G$9:$G$120)</f>
        <v>0</v>
      </c>
      <c r="G24" s="7">
        <f ca="1">SUMIF('JURNAL UMUM'!$A$9:$H$120,'NERACA SALDO'!A24,'JURNAL UMUM'!$H$9:$H$120)</f>
        <v>1500000</v>
      </c>
      <c r="H24" s="7">
        <f t="shared" ca="1" si="0"/>
        <v>0</v>
      </c>
      <c r="I24" s="7">
        <f t="shared" ca="1" si="1"/>
        <v>1500000</v>
      </c>
    </row>
    <row r="25" spans="1:9" x14ac:dyDescent="0.25">
      <c r="A25" s="2">
        <v>21400</v>
      </c>
      <c r="B25" s="38" t="str">
        <f>VLOOKUP(A25,'MASTER AKUN'!$A$8:$E$72,2,FALSE)</f>
        <v>Hutang Pajak</v>
      </c>
      <c r="C25" s="2"/>
      <c r="D25" s="40">
        <f>VLOOKUP(A25,'MASTER AKUN'!$A$8:$E$72,4,FALSE)</f>
        <v>0</v>
      </c>
      <c r="E25" s="40">
        <f>VLOOKUP(A25,'MASTER AKUN'!$A$8:$E$72,5,FALSE)</f>
        <v>0</v>
      </c>
      <c r="F25" s="7">
        <f ca="1">SUMIF('JURNAL UMUM'!$A$9:$H$120,'NERACA SALDO'!A25,'JURNAL UMUM'!$G$9:$G$120)</f>
        <v>0</v>
      </c>
      <c r="G25" s="7">
        <f ca="1">SUMIF('JURNAL UMUM'!$A$9:$H$120,'NERACA SALDO'!A25,'JURNAL UMUM'!$H$9:$H$120)</f>
        <v>0</v>
      </c>
      <c r="H25" s="7">
        <f t="shared" ca="1" si="0"/>
        <v>0</v>
      </c>
      <c r="I25" s="7">
        <f t="shared" ca="1" si="1"/>
        <v>0</v>
      </c>
    </row>
    <row r="26" spans="1:9" x14ac:dyDescent="0.25">
      <c r="A26" s="2">
        <v>21401</v>
      </c>
      <c r="B26" s="38" t="str">
        <f>VLOOKUP(A26,'MASTER AKUN'!$A$8:$E$72,2,FALSE)</f>
        <v>Utang PPh Pasal 21</v>
      </c>
      <c r="C26" s="2"/>
      <c r="D26" s="40">
        <f>VLOOKUP(A26,'MASTER AKUN'!$A$8:$E$72,4,FALSE)</f>
        <v>0</v>
      </c>
      <c r="E26" s="40">
        <f>VLOOKUP(A26,'MASTER AKUN'!$A$8:$E$72,5,FALSE)</f>
        <v>0</v>
      </c>
      <c r="F26" s="7">
        <f ca="1">SUMIF('JURNAL UMUM'!$A$9:$H$120,'NERACA SALDO'!A26,'JURNAL UMUM'!$G$9:$G$120)</f>
        <v>0</v>
      </c>
      <c r="G26" s="7">
        <f ca="1">SUMIF('JURNAL UMUM'!$A$9:$H$120,'NERACA SALDO'!A26,'JURNAL UMUM'!$H$9:$H$120)</f>
        <v>725000</v>
      </c>
      <c r="H26" s="7">
        <f t="shared" ca="1" si="0"/>
        <v>0</v>
      </c>
      <c r="I26" s="7">
        <f t="shared" ca="1" si="1"/>
        <v>725000</v>
      </c>
    </row>
    <row r="27" spans="1:9" x14ac:dyDescent="0.25">
      <c r="A27" s="2">
        <v>21402</v>
      </c>
      <c r="B27" s="38" t="str">
        <f>VLOOKUP(A27,'MASTER AKUN'!$A$8:$E$72,2,FALSE)</f>
        <v>Utang PPh Pasal 4</v>
      </c>
      <c r="C27" s="2"/>
      <c r="D27" s="40">
        <f>VLOOKUP(A27,'MASTER AKUN'!$A$8:$E$72,4,FALSE)</f>
        <v>0</v>
      </c>
      <c r="E27" s="40">
        <f>VLOOKUP(A27,'MASTER AKUN'!$A$8:$E$72,5,FALSE)</f>
        <v>0</v>
      </c>
      <c r="F27" s="7">
        <f ca="1">SUMIF('JURNAL UMUM'!$A$9:$H$120,'NERACA SALDO'!A27,'JURNAL UMUM'!$G$9:$G$120)</f>
        <v>0</v>
      </c>
      <c r="G27" s="7">
        <f ca="1">SUMIF('JURNAL UMUM'!$A$9:$H$120,'NERACA SALDO'!A27,'JURNAL UMUM'!$H$9:$H$120)</f>
        <v>250000</v>
      </c>
      <c r="H27" s="7">
        <f t="shared" ca="1" si="0"/>
        <v>0</v>
      </c>
      <c r="I27" s="7">
        <f t="shared" ca="1" si="1"/>
        <v>250000</v>
      </c>
    </row>
    <row r="28" spans="1:9" x14ac:dyDescent="0.25">
      <c r="A28" s="2">
        <v>21403</v>
      </c>
      <c r="B28" s="38" t="str">
        <f>VLOOKUP(A28,'MASTER AKUN'!$A$8:$E$72,2,FALSE)</f>
        <v>PPN Keluaran</v>
      </c>
      <c r="C28" s="2"/>
      <c r="D28" s="40">
        <f>VLOOKUP(A28,'MASTER AKUN'!$A$8:$E$72,4,FALSE)</f>
        <v>0</v>
      </c>
      <c r="E28" s="40">
        <f>VLOOKUP(A28,'MASTER AKUN'!$A$8:$E$72,5,FALSE)</f>
        <v>0</v>
      </c>
      <c r="F28" s="7">
        <f ca="1">SUMIF('JURNAL UMUM'!$A$9:$H$120,'NERACA SALDO'!A28,'JURNAL UMUM'!$G$9:$G$120)</f>
        <v>212500</v>
      </c>
      <c r="G28" s="7">
        <f ca="1">SUMIF('JURNAL UMUM'!$A$9:$H$120,'NERACA SALDO'!A28,'JURNAL UMUM'!$H$9:$H$120)</f>
        <v>14182250</v>
      </c>
      <c r="H28" s="7">
        <f t="shared" ca="1" si="0"/>
        <v>0</v>
      </c>
      <c r="I28" s="7">
        <f t="shared" ca="1" si="1"/>
        <v>13969750</v>
      </c>
    </row>
    <row r="29" spans="1:9" x14ac:dyDescent="0.25">
      <c r="A29" s="2">
        <v>22001</v>
      </c>
      <c r="B29" s="38" t="str">
        <f>VLOOKUP(A29,'MASTER AKUN'!$A$8:$E$72,2,FALSE)</f>
        <v>Hutang Bank Mandiri</v>
      </c>
      <c r="C29" s="2"/>
      <c r="D29" s="40">
        <f>VLOOKUP(A29,'MASTER AKUN'!$A$8:$E$72,4,FALSE)</f>
        <v>0</v>
      </c>
      <c r="E29" s="40">
        <f>VLOOKUP(A29,'MASTER AKUN'!$A$8:$E$72,5,FALSE)</f>
        <v>75000000</v>
      </c>
      <c r="F29" s="7">
        <f ca="1">SUMIF('JURNAL UMUM'!$A$9:$H$120,'NERACA SALDO'!A29,'JURNAL UMUM'!$G$9:$G$120)</f>
        <v>0</v>
      </c>
      <c r="G29" s="7">
        <f ca="1">SUMIF('JURNAL UMUM'!$A$9:$H$120,'NERACA SALDO'!A29,'JURNAL UMUM'!$H$9:$H$120)</f>
        <v>0</v>
      </c>
      <c r="H29" s="7">
        <f t="shared" ca="1" si="0"/>
        <v>0</v>
      </c>
      <c r="I29" s="7">
        <f t="shared" ca="1" si="1"/>
        <v>75000000</v>
      </c>
    </row>
    <row r="30" spans="1:9" x14ac:dyDescent="0.25">
      <c r="A30" s="2">
        <v>31000</v>
      </c>
      <c r="B30" s="38" t="str">
        <f>VLOOKUP(A30,'MASTER AKUN'!$A$8:$E$72,2,FALSE)</f>
        <v>Modal Saham</v>
      </c>
      <c r="C30" s="2"/>
      <c r="D30" s="40">
        <f>VLOOKUP(A30,'MASTER AKUN'!$A$8:$E$72,4,FALSE)</f>
        <v>0</v>
      </c>
      <c r="E30" s="40">
        <f>VLOOKUP(A30,'MASTER AKUN'!$A$8:$E$72,5,FALSE)</f>
        <v>150000000</v>
      </c>
      <c r="F30" s="7">
        <f ca="1">SUMIF('JURNAL UMUM'!$A$9:$H$120,'NERACA SALDO'!A30,'JURNAL UMUM'!$G$9:$G$120)</f>
        <v>0</v>
      </c>
      <c r="G30" s="7">
        <f ca="1">SUMIF('JURNAL UMUM'!$A$9:$H$120,'NERACA SALDO'!A30,'JURNAL UMUM'!$H$9:$H$120)</f>
        <v>0</v>
      </c>
      <c r="H30" s="7">
        <f t="shared" ca="1" si="0"/>
        <v>0</v>
      </c>
      <c r="I30" s="7">
        <f t="shared" ca="1" si="1"/>
        <v>150000000</v>
      </c>
    </row>
    <row r="31" spans="1:9" x14ac:dyDescent="0.25">
      <c r="A31" s="2">
        <v>32000</v>
      </c>
      <c r="B31" s="38" t="str">
        <f>VLOOKUP(A31,'MASTER AKUN'!$A$8:$E$72,2,FALSE)</f>
        <v>Laba Ditahan Periode Lalu</v>
      </c>
      <c r="C31" s="2"/>
      <c r="D31" s="40">
        <f>VLOOKUP(A31,'MASTER AKUN'!$A$8:$E$72,4,FALSE)</f>
        <v>0</v>
      </c>
      <c r="E31" s="40">
        <f>VLOOKUP(A31,'MASTER AKUN'!$A$8:$E$72,5,FALSE)</f>
        <v>24630000</v>
      </c>
      <c r="F31" s="7">
        <f ca="1">SUMIF('JURNAL UMUM'!$A$9:$H$120,'NERACA SALDO'!A31,'JURNAL UMUM'!$G$9:$G$120)</f>
        <v>0</v>
      </c>
      <c r="G31" s="7">
        <f ca="1">SUMIF('JURNAL UMUM'!$A$9:$H$120,'NERACA SALDO'!A31,'JURNAL UMUM'!$H$9:$H$120)</f>
        <v>0</v>
      </c>
      <c r="H31" s="7">
        <f t="shared" ca="1" si="0"/>
        <v>0</v>
      </c>
      <c r="I31" s="7">
        <f t="shared" ca="1" si="1"/>
        <v>24630000</v>
      </c>
    </row>
    <row r="32" spans="1:9" x14ac:dyDescent="0.25">
      <c r="A32" s="2">
        <v>33000</v>
      </c>
      <c r="B32" s="38" t="str">
        <f>VLOOKUP(A32,'MASTER AKUN'!$A$8:$E$72,2,FALSE)</f>
        <v>Laba Ditahan Periode Berjalan</v>
      </c>
      <c r="C32" s="2"/>
      <c r="D32" s="40">
        <f>VLOOKUP(A32,'MASTER AKUN'!$A$8:$E$72,4,FALSE)</f>
        <v>0</v>
      </c>
      <c r="E32" s="40">
        <f>VLOOKUP(A32,'MASTER AKUN'!$A$8:$E$72,5,FALSE)</f>
        <v>0</v>
      </c>
      <c r="F32" s="7">
        <f ca="1">SUMIF('JURNAL UMUM'!$A$9:$H$120,'NERACA SALDO'!A32,'JURNAL UMUM'!$G$9:$G$120)</f>
        <v>0</v>
      </c>
      <c r="G32" s="7">
        <f ca="1">SUMIF('JURNAL UMUM'!$A$9:$H$120,'NERACA SALDO'!A32,'JURNAL UMUM'!$H$9:$H$120)</f>
        <v>0</v>
      </c>
      <c r="H32" s="7">
        <f t="shared" ca="1" si="0"/>
        <v>0</v>
      </c>
      <c r="I32" s="7">
        <f t="shared" ca="1" si="1"/>
        <v>0</v>
      </c>
    </row>
    <row r="33" spans="1:9" x14ac:dyDescent="0.25">
      <c r="A33" s="2">
        <v>39999</v>
      </c>
      <c r="B33" s="38" t="str">
        <f>VLOOKUP(A33,'MASTER AKUN'!$A$8:$E$72,2,FALSE)</f>
        <v>Perkiraan Penyeimbang</v>
      </c>
      <c r="C33" s="2"/>
      <c r="D33" s="40">
        <f>VLOOKUP(A33,'MASTER AKUN'!$A$8:$E$72,4,FALSE)</f>
        <v>0</v>
      </c>
      <c r="E33" s="40">
        <f>VLOOKUP(A33,'MASTER AKUN'!$A$8:$E$72,5,FALSE)</f>
        <v>0</v>
      </c>
      <c r="F33" s="7">
        <f ca="1">SUMIF('JURNAL UMUM'!$A$9:$H$120,'NERACA SALDO'!A33,'JURNAL UMUM'!$G$9:$G$120)</f>
        <v>0</v>
      </c>
      <c r="G33" s="7">
        <f ca="1">SUMIF('JURNAL UMUM'!$A$9:$H$120,'NERACA SALDO'!A33,'JURNAL UMUM'!$H$9:$H$120)</f>
        <v>0</v>
      </c>
      <c r="H33" s="7">
        <f t="shared" ca="1" si="0"/>
        <v>0</v>
      </c>
      <c r="I33" s="7">
        <f t="shared" ca="1" si="1"/>
        <v>0</v>
      </c>
    </row>
    <row r="34" spans="1:9" x14ac:dyDescent="0.25">
      <c r="A34" s="2">
        <v>41000</v>
      </c>
      <c r="B34" s="38" t="str">
        <f>VLOOKUP(A34,'MASTER AKUN'!$A$8:$E$72,2,FALSE)</f>
        <v>Penjualan</v>
      </c>
      <c r="C34" s="2"/>
      <c r="D34" s="40">
        <f>VLOOKUP(A34,'MASTER AKUN'!$A$8:$E$72,4,FALSE)</f>
        <v>0</v>
      </c>
      <c r="E34" s="40">
        <f>VLOOKUP(A34,'MASTER AKUN'!$A$8:$E$72,5,FALSE)</f>
        <v>0</v>
      </c>
      <c r="F34" s="7">
        <f ca="1">SUMIF('JURNAL UMUM'!$A$9:$H$120,'NERACA SALDO'!A34,'JURNAL UMUM'!$G$9:$G$120)</f>
        <v>0</v>
      </c>
      <c r="G34" s="7">
        <f ca="1">SUMIF('JURNAL UMUM'!$A$9:$H$120,'NERACA SALDO'!A34,'JURNAL UMUM'!$H$9:$H$120)</f>
        <v>142385000</v>
      </c>
      <c r="H34" s="7">
        <f t="shared" ca="1" si="0"/>
        <v>0</v>
      </c>
      <c r="I34" s="7">
        <f t="shared" ca="1" si="1"/>
        <v>142385000</v>
      </c>
    </row>
    <row r="35" spans="1:9" x14ac:dyDescent="0.25">
      <c r="A35" s="2">
        <v>42000</v>
      </c>
      <c r="B35" s="38" t="str">
        <f>VLOOKUP(A35,'MASTER AKUN'!$A$8:$E$72,2,FALSE)</f>
        <v>Retur Penjualan</v>
      </c>
      <c r="C35" s="2"/>
      <c r="D35" s="40">
        <f>VLOOKUP(A35,'MASTER AKUN'!$A$8:$E$72,4,FALSE)</f>
        <v>0</v>
      </c>
      <c r="E35" s="40">
        <f>VLOOKUP(A35,'MASTER AKUN'!$A$8:$E$72,5,FALSE)</f>
        <v>0</v>
      </c>
      <c r="F35" s="7">
        <f ca="1">SUMIF('JURNAL UMUM'!$A$9:$H$120,'NERACA SALDO'!A35,'JURNAL UMUM'!$G$9:$G$120)</f>
        <v>2125000</v>
      </c>
      <c r="G35" s="7">
        <f ca="1">SUMIF('JURNAL UMUM'!$A$9:$H$120,'NERACA SALDO'!A35,'JURNAL UMUM'!$H$9:$H$120)</f>
        <v>0</v>
      </c>
      <c r="H35" s="7">
        <f t="shared" ca="1" si="0"/>
        <v>2125000</v>
      </c>
      <c r="I35" s="7">
        <f t="shared" ca="1" si="1"/>
        <v>0</v>
      </c>
    </row>
    <row r="36" spans="1:9" x14ac:dyDescent="0.25">
      <c r="A36" s="2">
        <v>43000</v>
      </c>
      <c r="B36" s="38" t="str">
        <f>VLOOKUP(A36,'MASTER AKUN'!$A$8:$E$72,2,FALSE)</f>
        <v>Potongan Penjualan</v>
      </c>
      <c r="C36" s="2"/>
      <c r="D36" s="40">
        <f>VLOOKUP(A36,'MASTER AKUN'!$A$8:$E$72,4,FALSE)</f>
        <v>0</v>
      </c>
      <c r="E36" s="40">
        <f>VLOOKUP(A36,'MASTER AKUN'!$A$8:$E$72,5,FALSE)</f>
        <v>0</v>
      </c>
      <c r="F36" s="7">
        <f ca="1">SUMIF('JURNAL UMUM'!$A$9:$H$120,'NERACA SALDO'!A36,'JURNAL UMUM'!$G$9:$G$120)</f>
        <v>3022500</v>
      </c>
      <c r="G36" s="7">
        <f ca="1">SUMIF('JURNAL UMUM'!$A$9:$H$120,'NERACA SALDO'!A36,'JURNAL UMUM'!$H$9:$H$120)</f>
        <v>0</v>
      </c>
      <c r="H36" s="7">
        <f t="shared" ca="1" si="0"/>
        <v>3022500</v>
      </c>
      <c r="I36" s="7">
        <f t="shared" ca="1" si="1"/>
        <v>0</v>
      </c>
    </row>
    <row r="37" spans="1:9" x14ac:dyDescent="0.25">
      <c r="A37" s="2">
        <v>51000</v>
      </c>
      <c r="B37" s="38" t="str">
        <f>VLOOKUP(A37,'MASTER AKUN'!$A$8:$E$72,2,FALSE)</f>
        <v>Harga Pokok Penjualan</v>
      </c>
      <c r="C37" s="2"/>
      <c r="D37" s="40">
        <f>VLOOKUP(A37,'MASTER AKUN'!$A$8:$E$72,4,FALSE)</f>
        <v>0</v>
      </c>
      <c r="E37" s="40">
        <f>VLOOKUP(A37,'MASTER AKUN'!$A$8:$E$72,5,FALSE)</f>
        <v>0</v>
      </c>
      <c r="F37" s="7">
        <f ca="1">SUMIF('JURNAL UMUM'!$A$9:$H$120,'NERACA SALDO'!A37,'JURNAL UMUM'!$G$9:$G$120)</f>
        <v>118065000</v>
      </c>
      <c r="G37" s="7">
        <f ca="1">SUMIF('JURNAL UMUM'!$A$9:$H$120,'NERACA SALDO'!A37,'JURNAL UMUM'!$H$9:$H$120)</f>
        <v>1725000</v>
      </c>
      <c r="H37" s="7">
        <f t="shared" ca="1" si="0"/>
        <v>116340000</v>
      </c>
      <c r="I37" s="7">
        <f t="shared" ca="1" si="1"/>
        <v>0</v>
      </c>
    </row>
    <row r="38" spans="1:9" x14ac:dyDescent="0.25">
      <c r="A38" s="2">
        <v>61001</v>
      </c>
      <c r="B38" s="38" t="str">
        <f>VLOOKUP(A38,'MASTER AKUN'!$A$8:$E$72,2,FALSE)</f>
        <v>Beban Gaji Karyawan</v>
      </c>
      <c r="C38" s="2"/>
      <c r="D38" s="40">
        <f>VLOOKUP(A38,'MASTER AKUN'!$A$8:$E$72,4,FALSE)</f>
        <v>0</v>
      </c>
      <c r="E38" s="40">
        <f>VLOOKUP(A38,'MASTER AKUN'!$A$8:$E$72,5,FALSE)</f>
        <v>0</v>
      </c>
      <c r="F38" s="7">
        <f ca="1">SUMIF('JURNAL UMUM'!$A$9:$H$120,'NERACA SALDO'!A38,'JURNAL UMUM'!$G$9:$G$120)</f>
        <v>14500000</v>
      </c>
      <c r="G38" s="7">
        <f ca="1">SUMIF('JURNAL UMUM'!$A$9:$H$120,'NERACA SALDO'!A38,'JURNAL UMUM'!$H$9:$H$120)</f>
        <v>0</v>
      </c>
      <c r="H38" s="7">
        <f t="shared" ca="1" si="0"/>
        <v>14500000</v>
      </c>
      <c r="I38" s="7">
        <f t="shared" ca="1" si="1"/>
        <v>0</v>
      </c>
    </row>
    <row r="39" spans="1:9" x14ac:dyDescent="0.25">
      <c r="A39" s="2">
        <v>61002</v>
      </c>
      <c r="B39" s="38" t="str">
        <f>VLOOKUP(A39,'MASTER AKUN'!$A$8:$E$72,2,FALSE)</f>
        <v>Beban Sewa</v>
      </c>
      <c r="C39" s="2"/>
      <c r="D39" s="40">
        <f>VLOOKUP(A39,'MASTER AKUN'!$A$8:$E$72,4,FALSE)</f>
        <v>0</v>
      </c>
      <c r="E39" s="40">
        <f>VLOOKUP(A39,'MASTER AKUN'!$A$8:$E$72,5,FALSE)</f>
        <v>0</v>
      </c>
      <c r="F39" s="7">
        <f ca="1">SUMIF('JURNAL UMUM'!$A$9:$H$120,'NERACA SALDO'!A39,'JURNAL UMUM'!$G$9:$G$120)</f>
        <v>2500000</v>
      </c>
      <c r="G39" s="7">
        <f ca="1">SUMIF('JURNAL UMUM'!$A$9:$H$120,'NERACA SALDO'!A39,'JURNAL UMUM'!$H$9:$H$120)</f>
        <v>0</v>
      </c>
      <c r="H39" s="7">
        <f t="shared" ca="1" si="0"/>
        <v>2500000</v>
      </c>
      <c r="I39" s="7">
        <f t="shared" ca="1" si="1"/>
        <v>0</v>
      </c>
    </row>
    <row r="40" spans="1:9" x14ac:dyDescent="0.25">
      <c r="A40" s="2">
        <v>61003</v>
      </c>
      <c r="B40" s="38" t="str">
        <f>VLOOKUP(A40,'MASTER AKUN'!$A$8:$E$72,2,FALSE)</f>
        <v>Beban Piutang Tak Tertagih</v>
      </c>
      <c r="C40" s="2"/>
      <c r="D40" s="40">
        <f>VLOOKUP(A40,'MASTER AKUN'!$A$8:$E$72,4,FALSE)</f>
        <v>0</v>
      </c>
      <c r="E40" s="40">
        <f>VLOOKUP(A40,'MASTER AKUN'!$A$8:$E$72,5,FALSE)</f>
        <v>0</v>
      </c>
      <c r="F40" s="7">
        <f ca="1">SUMIF('JURNAL UMUM'!$A$9:$H$120,'NERACA SALDO'!A40,'JURNAL UMUM'!$G$9:$G$120)</f>
        <v>2901750</v>
      </c>
      <c r="G40" s="7">
        <f ca="1">SUMIF('JURNAL UMUM'!$A$9:$H$120,'NERACA SALDO'!A40,'JURNAL UMUM'!$H$9:$H$120)</f>
        <v>0</v>
      </c>
      <c r="H40" s="7">
        <f t="shared" ca="1" si="0"/>
        <v>2901750</v>
      </c>
      <c r="I40" s="7">
        <f t="shared" ca="1" si="1"/>
        <v>0</v>
      </c>
    </row>
    <row r="41" spans="1:9" x14ac:dyDescent="0.25">
      <c r="A41" s="2">
        <v>61004</v>
      </c>
      <c r="B41" s="38" t="str">
        <f>VLOOKUP(A41,'MASTER AKUN'!$A$8:$E$72,2,FALSE)</f>
        <v>Beban Listrik</v>
      </c>
      <c r="C41" s="2"/>
      <c r="D41" s="40">
        <f>VLOOKUP(A41,'MASTER AKUN'!$A$8:$E$72,4,FALSE)</f>
        <v>0</v>
      </c>
      <c r="E41" s="40">
        <f>VLOOKUP(A41,'MASTER AKUN'!$A$8:$E$72,5,FALSE)</f>
        <v>0</v>
      </c>
      <c r="F41" s="7">
        <f ca="1">SUMIF('JURNAL UMUM'!$A$9:$H$120,'NERACA SALDO'!A41,'JURNAL UMUM'!$G$9:$G$120)</f>
        <v>175000</v>
      </c>
      <c r="G41" s="7">
        <f ca="1">SUMIF('JURNAL UMUM'!$A$9:$H$120,'NERACA SALDO'!A41,'JURNAL UMUM'!$H$9:$H$120)</f>
        <v>0</v>
      </c>
      <c r="H41" s="7">
        <f t="shared" ca="1" si="0"/>
        <v>175000</v>
      </c>
      <c r="I41" s="7">
        <f t="shared" ca="1" si="1"/>
        <v>0</v>
      </c>
    </row>
    <row r="42" spans="1:9" x14ac:dyDescent="0.25">
      <c r="A42" s="2">
        <v>61005</v>
      </c>
      <c r="B42" s="38" t="str">
        <f>VLOOKUP(A42,'MASTER AKUN'!$A$8:$E$72,2,FALSE)</f>
        <v>Beban Telepon</v>
      </c>
      <c r="C42" s="2"/>
      <c r="D42" s="40">
        <f>VLOOKUP(A42,'MASTER AKUN'!$A$8:$E$72,4,FALSE)</f>
        <v>0</v>
      </c>
      <c r="E42" s="40">
        <f>VLOOKUP(A42,'MASTER AKUN'!$A$8:$E$72,5,FALSE)</f>
        <v>0</v>
      </c>
      <c r="F42" s="7">
        <f ca="1">SUMIF('JURNAL UMUM'!$A$9:$H$120,'NERACA SALDO'!A42,'JURNAL UMUM'!$G$9:$G$120)</f>
        <v>212500</v>
      </c>
      <c r="G42" s="7">
        <f ca="1">SUMIF('JURNAL UMUM'!$A$9:$H$120,'NERACA SALDO'!A42,'JURNAL UMUM'!$H$9:$H$120)</f>
        <v>0</v>
      </c>
      <c r="H42" s="7">
        <f t="shared" ca="1" si="0"/>
        <v>212500</v>
      </c>
      <c r="I42" s="7">
        <f t="shared" ca="1" si="1"/>
        <v>0</v>
      </c>
    </row>
    <row r="43" spans="1:9" x14ac:dyDescent="0.25">
      <c r="A43" s="2">
        <v>61006</v>
      </c>
      <c r="B43" s="38" t="str">
        <f>VLOOKUP(A43,'MASTER AKUN'!$A$8:$E$72,2,FALSE)</f>
        <v>Beban Penyusutan Peralatan Kantor</v>
      </c>
      <c r="C43" s="2"/>
      <c r="D43" s="40">
        <f>VLOOKUP(A43,'MASTER AKUN'!$A$8:$E$72,4,FALSE)</f>
        <v>0</v>
      </c>
      <c r="E43" s="40">
        <f>VLOOKUP(A43,'MASTER AKUN'!$A$8:$E$72,5,FALSE)</f>
        <v>0</v>
      </c>
      <c r="F43" s="7">
        <f ca="1">SUMIF('JURNAL UMUM'!$A$9:$H$120,'NERACA SALDO'!A43,'JURNAL UMUM'!$G$9:$G$120)</f>
        <v>400000</v>
      </c>
      <c r="G43" s="7">
        <f ca="1">SUMIF('JURNAL UMUM'!$A$9:$H$120,'NERACA SALDO'!A43,'JURNAL UMUM'!$H$9:$H$120)</f>
        <v>0</v>
      </c>
      <c r="H43" s="7">
        <f t="shared" ca="1" si="0"/>
        <v>400000</v>
      </c>
      <c r="I43" s="7">
        <f t="shared" ca="1" si="1"/>
        <v>0</v>
      </c>
    </row>
    <row r="44" spans="1:9" x14ac:dyDescent="0.25">
      <c r="A44" s="2">
        <v>61007</v>
      </c>
      <c r="B44" s="38" t="str">
        <f>VLOOKUP(A44,'MASTER AKUN'!$A$8:$E$72,2,FALSE)</f>
        <v>Beban Penyusutan Kendaraan</v>
      </c>
      <c r="C44" s="2"/>
      <c r="D44" s="40">
        <f>VLOOKUP(A44,'MASTER AKUN'!$A$8:$E$72,4,FALSE)</f>
        <v>0</v>
      </c>
      <c r="E44" s="40">
        <f>VLOOKUP(A44,'MASTER AKUN'!$A$8:$E$72,5,FALSE)</f>
        <v>0</v>
      </c>
      <c r="F44" s="7">
        <f ca="1">SUMIF('JURNAL UMUM'!$A$9:$H$120,'NERACA SALDO'!A44,'JURNAL UMUM'!$G$9:$G$120)</f>
        <v>500000</v>
      </c>
      <c r="G44" s="7">
        <f ca="1">SUMIF('JURNAL UMUM'!$A$9:$H$120,'NERACA SALDO'!A44,'JURNAL UMUM'!$H$9:$H$120)</f>
        <v>0</v>
      </c>
      <c r="H44" s="7">
        <f t="shared" ca="1" si="0"/>
        <v>500000</v>
      </c>
      <c r="I44" s="7">
        <f t="shared" ca="1" si="1"/>
        <v>0</v>
      </c>
    </row>
    <row r="45" spans="1:9" x14ac:dyDescent="0.25">
      <c r="A45" s="2">
        <v>61008</v>
      </c>
      <c r="B45" s="38" t="str">
        <f>VLOOKUP(A45,'MASTER AKUN'!$A$8:$E$72,2,FALSE)</f>
        <v>Beban Pemasaran</v>
      </c>
      <c r="C45" s="2"/>
      <c r="D45" s="40">
        <f>VLOOKUP(A45,'MASTER AKUN'!$A$8:$E$72,4,FALSE)</f>
        <v>0</v>
      </c>
      <c r="E45" s="40">
        <f>VLOOKUP(A45,'MASTER AKUN'!$A$8:$E$72,5,FALSE)</f>
        <v>0</v>
      </c>
      <c r="F45" s="7">
        <f ca="1">SUMIF('JURNAL UMUM'!$A$9:$H$120,'NERACA SALDO'!A45,'JURNAL UMUM'!$G$9:$G$120)</f>
        <v>750000</v>
      </c>
      <c r="G45" s="7">
        <f ca="1">SUMIF('JURNAL UMUM'!$A$9:$H$120,'NERACA SALDO'!A45,'JURNAL UMUM'!$H$9:$H$120)</f>
        <v>0</v>
      </c>
      <c r="H45" s="7">
        <f t="shared" ca="1" si="0"/>
        <v>750000</v>
      </c>
      <c r="I45" s="7">
        <f t="shared" ca="1" si="1"/>
        <v>0</v>
      </c>
    </row>
    <row r="46" spans="1:9" x14ac:dyDescent="0.25">
      <c r="A46" s="2">
        <v>61009</v>
      </c>
      <c r="B46" s="38" t="str">
        <f>VLOOKUP(A46,'MASTER AKUN'!$A$8:$E$72,2,FALSE)</f>
        <v>Beban Transportasi</v>
      </c>
      <c r="C46" s="2"/>
      <c r="D46" s="40">
        <f>VLOOKUP(A46,'MASTER AKUN'!$A$8:$E$72,4,FALSE)</f>
        <v>0</v>
      </c>
      <c r="E46" s="40">
        <f>VLOOKUP(A46,'MASTER AKUN'!$A$8:$E$72,5,FALSE)</f>
        <v>0</v>
      </c>
      <c r="F46" s="7">
        <f ca="1">SUMIF('JURNAL UMUM'!$A$9:$H$120,'NERACA SALDO'!A46,'JURNAL UMUM'!$G$9:$G$120)</f>
        <v>250000</v>
      </c>
      <c r="G46" s="7">
        <f ca="1">SUMIF('JURNAL UMUM'!$A$9:$H$120,'NERACA SALDO'!A46,'JURNAL UMUM'!$H$9:$H$120)</f>
        <v>0</v>
      </c>
      <c r="H46" s="7">
        <f t="shared" ca="1" si="0"/>
        <v>250000</v>
      </c>
      <c r="I46" s="7">
        <f t="shared" ca="1" si="1"/>
        <v>0</v>
      </c>
    </row>
    <row r="47" spans="1:9" x14ac:dyDescent="0.25">
      <c r="A47" s="2">
        <v>61010</v>
      </c>
      <c r="B47" s="38" t="str">
        <f>VLOOKUP(A47,'MASTER AKUN'!$A$8:$E$72,2,FALSE)</f>
        <v>Beban Perawatan AC</v>
      </c>
      <c r="C47" s="36"/>
      <c r="D47" s="40">
        <f>VLOOKUP(A47,'MASTER AKUN'!$A$8:$E$72,4,FALSE)</f>
        <v>0</v>
      </c>
      <c r="E47" s="40">
        <f>VLOOKUP(A47,'MASTER AKUN'!$A$8:$E$72,5,FALSE)</f>
        <v>0</v>
      </c>
      <c r="F47" s="7">
        <f ca="1">SUMIF('JURNAL UMUM'!$A$9:$H$120,'NERACA SALDO'!A47,'JURNAL UMUM'!$G$9:$G$120)</f>
        <v>200000</v>
      </c>
      <c r="G47" s="7">
        <f ca="1">SUMIF('JURNAL UMUM'!$A$9:$H$120,'NERACA SALDO'!A47,'JURNAL UMUM'!$H$9:$H$120)</f>
        <v>0</v>
      </c>
      <c r="H47" s="7">
        <f t="shared" ca="1" si="0"/>
        <v>200000</v>
      </c>
      <c r="I47" s="7">
        <f t="shared" ca="1" si="1"/>
        <v>0</v>
      </c>
    </row>
    <row r="48" spans="1:9" x14ac:dyDescent="0.25">
      <c r="A48" s="2">
        <v>61011</v>
      </c>
      <c r="B48" s="38" t="str">
        <f>VLOOKUP(A48,'MASTER AKUN'!$A$8:$E$72,2,FALSE)</f>
        <v>Beban Perlengkapan Kantor</v>
      </c>
      <c r="C48" s="2"/>
      <c r="D48" s="40">
        <f>VLOOKUP(A48,'MASTER AKUN'!$A$8:$E$72,4,FALSE)</f>
        <v>0</v>
      </c>
      <c r="E48" s="40">
        <f>VLOOKUP(A48,'MASTER AKUN'!$A$8:$E$72,5,FALSE)</f>
        <v>0</v>
      </c>
      <c r="F48" s="7">
        <f ca="1">SUMIF('JURNAL UMUM'!$A$9:$H$120,'NERACA SALDO'!A48,'JURNAL UMUM'!$G$9:$G$120)</f>
        <v>50000</v>
      </c>
      <c r="G48" s="7">
        <f ca="1">SUMIF('JURNAL UMUM'!$A$9:$H$120,'NERACA SALDO'!A48,'JURNAL UMUM'!$H$9:$H$120)</f>
        <v>0</v>
      </c>
      <c r="H48" s="7">
        <f t="shared" ca="1" si="0"/>
        <v>50000</v>
      </c>
      <c r="I48" s="7">
        <f t="shared" ca="1" si="1"/>
        <v>0</v>
      </c>
    </row>
    <row r="49" spans="1:9" x14ac:dyDescent="0.25">
      <c r="A49" s="2">
        <v>61099</v>
      </c>
      <c r="B49" s="38" t="str">
        <f>VLOOKUP(A49,'MASTER AKUN'!$A$8:$E$72,2,FALSE)</f>
        <v>Beban Umum Lain-Lain</v>
      </c>
      <c r="C49" s="2"/>
      <c r="D49" s="40">
        <f>VLOOKUP(A49,'MASTER AKUN'!$A$8:$E$72,4,FALSE)</f>
        <v>0</v>
      </c>
      <c r="E49" s="40">
        <f>VLOOKUP(A49,'MASTER AKUN'!$A$8:$E$72,5,FALSE)</f>
        <v>0</v>
      </c>
      <c r="F49" s="7">
        <f ca="1">SUMIF('JURNAL UMUM'!$A$9:$H$120,'NERACA SALDO'!A49,'JURNAL UMUM'!$G$9:$G$120)</f>
        <v>0</v>
      </c>
      <c r="G49" s="7">
        <f ca="1">SUMIF('JURNAL UMUM'!$A$9:$H$120,'NERACA SALDO'!A49,'JURNAL UMUM'!$H$9:$H$120)</f>
        <v>0</v>
      </c>
      <c r="H49" s="7">
        <f t="shared" ca="1" si="0"/>
        <v>0</v>
      </c>
      <c r="I49" s="7">
        <f t="shared" ca="1" si="1"/>
        <v>0</v>
      </c>
    </row>
    <row r="50" spans="1:9" x14ac:dyDescent="0.25">
      <c r="A50" s="2">
        <v>81001</v>
      </c>
      <c r="B50" s="38" t="str">
        <f>VLOOKUP(A50,'MASTER AKUN'!$A$8:$E$72,2,FALSE)</f>
        <v>Laba Penjualan Aktiva Tetap</v>
      </c>
      <c r="C50" s="2"/>
      <c r="D50" s="40">
        <f>VLOOKUP(A50,'MASTER AKUN'!$A$8:$E$72,4,FALSE)</f>
        <v>0</v>
      </c>
      <c r="E50" s="40">
        <f>VLOOKUP(A50,'MASTER AKUN'!$A$8:$E$72,5,FALSE)</f>
        <v>0</v>
      </c>
      <c r="F50" s="7">
        <f ca="1">SUMIF('JURNAL UMUM'!$A$9:$H$120,'NERACA SALDO'!A50,'JURNAL UMUM'!$G$9:$G$120)</f>
        <v>0</v>
      </c>
      <c r="G50" s="7">
        <f ca="1">SUMIF('JURNAL UMUM'!$A$9:$H$120,'NERACA SALDO'!A50,'JURNAL UMUM'!$H$9:$H$120)</f>
        <v>1000000</v>
      </c>
      <c r="H50" s="7">
        <f t="shared" ca="1" si="0"/>
        <v>0</v>
      </c>
      <c r="I50" s="7">
        <f t="shared" ca="1" si="1"/>
        <v>1000000</v>
      </c>
    </row>
    <row r="51" spans="1:9" x14ac:dyDescent="0.25">
      <c r="A51" s="2">
        <v>81002</v>
      </c>
      <c r="B51" s="38" t="str">
        <f>VLOOKUP(A51,'MASTER AKUN'!$A$8:$E$72,2,FALSE)</f>
        <v>Pendapatan Jasa Giro</v>
      </c>
      <c r="C51" s="2"/>
      <c r="D51" s="40">
        <f>VLOOKUP(A51,'MASTER AKUN'!$A$8:$E$72,4,FALSE)</f>
        <v>0</v>
      </c>
      <c r="E51" s="40">
        <f>VLOOKUP(A51,'MASTER AKUN'!$A$8:$E$72,5,FALSE)</f>
        <v>0</v>
      </c>
      <c r="F51" s="7">
        <f ca="1">SUMIF('JURNAL UMUM'!$A$9:$H$120,'NERACA SALDO'!A51,'JURNAL UMUM'!$G$9:$G$120)</f>
        <v>0</v>
      </c>
      <c r="G51" s="7">
        <f ca="1">SUMIF('JURNAL UMUM'!$A$9:$H$120,'NERACA SALDO'!A51,'JURNAL UMUM'!$H$9:$H$120)</f>
        <v>1350000</v>
      </c>
      <c r="H51" s="7">
        <f t="shared" ca="1" si="0"/>
        <v>0</v>
      </c>
      <c r="I51" s="7">
        <f t="shared" ca="1" si="1"/>
        <v>1350000</v>
      </c>
    </row>
    <row r="52" spans="1:9" x14ac:dyDescent="0.25">
      <c r="A52" s="2">
        <v>91001</v>
      </c>
      <c r="B52" s="38" t="str">
        <f>VLOOKUP(A52,'MASTER AKUN'!$A$8:$E$72,2,FALSE)</f>
        <v>Beban Administrasi Bank</v>
      </c>
      <c r="C52" s="2"/>
      <c r="D52" s="40">
        <f>VLOOKUP(A52,'MASTER AKUN'!$A$8:$E$72,4,FALSE)</f>
        <v>0</v>
      </c>
      <c r="E52" s="40">
        <f>VLOOKUP(A52,'MASTER AKUN'!$A$8:$E$72,5,FALSE)</f>
        <v>0</v>
      </c>
      <c r="F52" s="7">
        <f ca="1">SUMIF('JURNAL UMUM'!$A$9:$H$120,'NERACA SALDO'!A52,'JURNAL UMUM'!$G$9:$G$120)</f>
        <v>150000</v>
      </c>
      <c r="G52" s="7">
        <f ca="1">SUMIF('JURNAL UMUM'!$A$9:$H$120,'NERACA SALDO'!A52,'JURNAL UMUM'!$H$9:$H$120)</f>
        <v>0</v>
      </c>
      <c r="H52" s="7">
        <f t="shared" ca="1" si="0"/>
        <v>150000</v>
      </c>
      <c r="I52" s="7">
        <f t="shared" ca="1" si="1"/>
        <v>0</v>
      </c>
    </row>
    <row r="53" spans="1:9" x14ac:dyDescent="0.25">
      <c r="A53" s="2">
        <v>91002</v>
      </c>
      <c r="B53" s="38" t="str">
        <f>VLOOKUP(A53,'MASTER AKUN'!$A$8:$E$72,2,FALSE)</f>
        <v>Beban Bunga</v>
      </c>
      <c r="C53" s="2"/>
      <c r="D53" s="40">
        <f>VLOOKUP(A53,'MASTER AKUN'!$A$8:$E$72,4,FALSE)</f>
        <v>0</v>
      </c>
      <c r="E53" s="40">
        <f>VLOOKUP(A53,'MASTER AKUN'!$A$8:$E$72,5,FALSE)</f>
        <v>0</v>
      </c>
      <c r="F53" s="7">
        <f ca="1">SUMIF('JURNAL UMUM'!$A$9:$H$120,'NERACA SALDO'!A53,'JURNAL UMUM'!$G$9:$G$120)</f>
        <v>1500000</v>
      </c>
      <c r="G53" s="7">
        <f ca="1">SUMIF('JURNAL UMUM'!$A$9:$H$120,'NERACA SALDO'!A53,'JURNAL UMUM'!$H$9:$H$120)</f>
        <v>0</v>
      </c>
      <c r="H53" s="7">
        <f t="shared" ca="1" si="0"/>
        <v>1500000</v>
      </c>
      <c r="I53" s="7">
        <f t="shared" ca="1" si="1"/>
        <v>0</v>
      </c>
    </row>
    <row r="54" spans="1:9" x14ac:dyDescent="0.25">
      <c r="B54" s="41" t="s">
        <v>71</v>
      </c>
      <c r="C54" s="10"/>
      <c r="D54" s="12">
        <f t="shared" ref="D54:E54" si="2">SUM(D8:D53)</f>
        <v>357130000</v>
      </c>
      <c r="E54" s="12">
        <f t="shared" si="2"/>
        <v>357130000</v>
      </c>
      <c r="F54" s="12">
        <f ca="1">SUM(F8:F53)</f>
        <v>479716500</v>
      </c>
      <c r="G54" s="12">
        <f ca="1">SUM(G8:G53)</f>
        <v>479716500</v>
      </c>
      <c r="H54" s="12">
        <f ca="1">SUM(H8:H53)</f>
        <v>492379000</v>
      </c>
      <c r="I54" s="12">
        <f ca="1">SUM(I8:I53)</f>
        <v>492379000</v>
      </c>
    </row>
    <row r="55" spans="1:9" x14ac:dyDescent="0.25">
      <c r="A55" s="42"/>
    </row>
    <row r="56" spans="1:9" x14ac:dyDescent="0.25">
      <c r="A56" s="42"/>
    </row>
    <row r="57" spans="1:9" x14ac:dyDescent="0.25">
      <c r="A57" s="42"/>
    </row>
    <row r="58" spans="1:9" x14ac:dyDescent="0.25">
      <c r="A58" s="42"/>
    </row>
    <row r="59" spans="1:9" x14ac:dyDescent="0.25">
      <c r="A59" s="42"/>
    </row>
    <row r="60" spans="1:9" x14ac:dyDescent="0.25">
      <c r="A60" s="42"/>
    </row>
    <row r="61" spans="1:9" x14ac:dyDescent="0.25">
      <c r="A61" s="42"/>
    </row>
    <row r="62" spans="1:9" x14ac:dyDescent="0.25">
      <c r="A62" s="42"/>
    </row>
    <row r="63" spans="1:9" x14ac:dyDescent="0.25">
      <c r="A63" s="42"/>
    </row>
    <row r="64" spans="1:9" x14ac:dyDescent="0.25">
      <c r="A64" s="42"/>
    </row>
    <row r="65" spans="1:1" x14ac:dyDescent="0.25">
      <c r="A65" s="42"/>
    </row>
    <row r="66" spans="1:1" x14ac:dyDescent="0.25">
      <c r="A66" s="42"/>
    </row>
    <row r="67" spans="1:1" x14ac:dyDescent="0.25">
      <c r="A67" s="42"/>
    </row>
    <row r="68" spans="1:1" x14ac:dyDescent="0.25">
      <c r="A68" s="42"/>
    </row>
    <row r="69" spans="1:1" x14ac:dyDescent="0.25">
      <c r="A69" s="42"/>
    </row>
    <row r="70" spans="1:1" x14ac:dyDescent="0.25">
      <c r="A70" s="42"/>
    </row>
    <row r="71" spans="1:1" x14ac:dyDescent="0.25">
      <c r="A71" s="42"/>
    </row>
    <row r="72" spans="1:1" x14ac:dyDescent="0.25">
      <c r="A72" s="42"/>
    </row>
    <row r="73" spans="1:1" x14ac:dyDescent="0.25">
      <c r="A73" s="42"/>
    </row>
    <row r="74" spans="1:1" x14ac:dyDescent="0.25">
      <c r="A74" s="42"/>
    </row>
    <row r="75" spans="1:1" x14ac:dyDescent="0.25">
      <c r="A75" s="42"/>
    </row>
    <row r="76" spans="1:1" x14ac:dyDescent="0.25">
      <c r="A76" s="42"/>
    </row>
    <row r="77" spans="1:1" x14ac:dyDescent="0.25">
      <c r="A77" s="42"/>
    </row>
    <row r="78" spans="1:1" x14ac:dyDescent="0.25">
      <c r="A78" s="42"/>
    </row>
    <row r="79" spans="1:1" x14ac:dyDescent="0.25">
      <c r="A79" s="42"/>
    </row>
    <row r="80" spans="1:1" x14ac:dyDescent="0.25">
      <c r="A80" s="42"/>
    </row>
    <row r="81" spans="1:1" x14ac:dyDescent="0.25">
      <c r="A81" s="42"/>
    </row>
    <row r="82" spans="1:1" x14ac:dyDescent="0.25">
      <c r="A82" s="42"/>
    </row>
    <row r="83" spans="1:1" x14ac:dyDescent="0.25">
      <c r="A83" s="42"/>
    </row>
    <row r="84" spans="1:1" x14ac:dyDescent="0.25">
      <c r="A84" s="42"/>
    </row>
    <row r="85" spans="1:1" x14ac:dyDescent="0.25">
      <c r="A85" s="42"/>
    </row>
    <row r="86" spans="1:1" x14ac:dyDescent="0.25">
      <c r="A86" s="42"/>
    </row>
    <row r="87" spans="1:1" x14ac:dyDescent="0.25">
      <c r="A87" s="42"/>
    </row>
    <row r="88" spans="1:1" x14ac:dyDescent="0.25">
      <c r="A88" s="42"/>
    </row>
    <row r="89" spans="1:1" x14ac:dyDescent="0.25">
      <c r="A89" s="42"/>
    </row>
    <row r="90" spans="1:1" x14ac:dyDescent="0.25">
      <c r="A90" s="42"/>
    </row>
    <row r="91" spans="1:1" x14ac:dyDescent="0.25">
      <c r="A91" s="42"/>
    </row>
    <row r="92" spans="1:1" x14ac:dyDescent="0.25">
      <c r="A92" s="42"/>
    </row>
    <row r="93" spans="1:1" x14ac:dyDescent="0.25">
      <c r="A93" s="42"/>
    </row>
    <row r="94" spans="1:1" x14ac:dyDescent="0.25">
      <c r="A94" s="42"/>
    </row>
    <row r="95" spans="1:1" x14ac:dyDescent="0.25">
      <c r="A95" s="42"/>
    </row>
    <row r="96" spans="1:1" x14ac:dyDescent="0.25">
      <c r="A96" s="42"/>
    </row>
    <row r="97" spans="1:1" x14ac:dyDescent="0.25">
      <c r="A97" s="42"/>
    </row>
    <row r="98" spans="1:1" x14ac:dyDescent="0.25">
      <c r="A98" s="42"/>
    </row>
    <row r="99" spans="1:1" x14ac:dyDescent="0.25">
      <c r="A99" s="42"/>
    </row>
    <row r="100" spans="1:1" x14ac:dyDescent="0.25">
      <c r="A100" s="42"/>
    </row>
    <row r="101" spans="1:1" x14ac:dyDescent="0.25">
      <c r="A101" s="42"/>
    </row>
    <row r="102" spans="1:1" x14ac:dyDescent="0.25">
      <c r="A102" s="42"/>
    </row>
    <row r="103" spans="1:1" x14ac:dyDescent="0.25">
      <c r="A103" s="42"/>
    </row>
    <row r="104" spans="1:1" x14ac:dyDescent="0.25">
      <c r="A104" s="42"/>
    </row>
    <row r="105" spans="1:1" x14ac:dyDescent="0.25">
      <c r="A105" s="42"/>
    </row>
    <row r="106" spans="1:1" x14ac:dyDescent="0.25">
      <c r="A106" s="42"/>
    </row>
    <row r="107" spans="1:1" x14ac:dyDescent="0.25">
      <c r="A107" s="42"/>
    </row>
    <row r="108" spans="1:1" x14ac:dyDescent="0.25">
      <c r="A108" s="42"/>
    </row>
    <row r="109" spans="1:1" x14ac:dyDescent="0.25">
      <c r="A109" s="42"/>
    </row>
    <row r="110" spans="1:1" x14ac:dyDescent="0.25">
      <c r="A110" s="42"/>
    </row>
    <row r="111" spans="1:1" x14ac:dyDescent="0.25">
      <c r="A111" s="42"/>
    </row>
    <row r="112" spans="1:1" x14ac:dyDescent="0.25">
      <c r="A112" s="42"/>
    </row>
    <row r="113" spans="1:1" x14ac:dyDescent="0.25">
      <c r="A113" s="42"/>
    </row>
    <row r="114" spans="1:1" x14ac:dyDescent="0.25">
      <c r="A114" s="42"/>
    </row>
    <row r="115" spans="1:1" x14ac:dyDescent="0.25">
      <c r="A115" s="42"/>
    </row>
    <row r="116" spans="1:1" x14ac:dyDescent="0.25">
      <c r="A116" s="42"/>
    </row>
    <row r="117" spans="1:1" x14ac:dyDescent="0.25">
      <c r="A117" s="42"/>
    </row>
    <row r="118" spans="1:1" x14ac:dyDescent="0.25">
      <c r="A118" s="42"/>
    </row>
    <row r="119" spans="1:1" x14ac:dyDescent="0.25">
      <c r="A119" s="42"/>
    </row>
    <row r="120" spans="1:1" x14ac:dyDescent="0.25">
      <c r="A120" s="42"/>
    </row>
    <row r="121" spans="1:1" x14ac:dyDescent="0.25">
      <c r="A121" s="42"/>
    </row>
    <row r="122" spans="1:1" x14ac:dyDescent="0.25">
      <c r="A122" s="42"/>
    </row>
    <row r="123" spans="1:1" x14ac:dyDescent="0.25">
      <c r="A123" s="42"/>
    </row>
    <row r="124" spans="1:1" x14ac:dyDescent="0.25">
      <c r="A124" s="42"/>
    </row>
    <row r="125" spans="1:1" x14ac:dyDescent="0.25">
      <c r="A125" s="42"/>
    </row>
    <row r="126" spans="1:1" x14ac:dyDescent="0.25">
      <c r="A126" s="42"/>
    </row>
    <row r="127" spans="1:1" x14ac:dyDescent="0.25">
      <c r="A127" s="42"/>
    </row>
    <row r="128" spans="1:1" x14ac:dyDescent="0.25">
      <c r="A128" s="42"/>
    </row>
    <row r="129" spans="1:1" x14ac:dyDescent="0.25">
      <c r="A129" s="42"/>
    </row>
    <row r="130" spans="1:1" x14ac:dyDescent="0.25">
      <c r="A130" s="42"/>
    </row>
    <row r="131" spans="1:1" x14ac:dyDescent="0.25">
      <c r="A131" s="42"/>
    </row>
    <row r="132" spans="1:1" x14ac:dyDescent="0.25">
      <c r="A132" s="42"/>
    </row>
    <row r="133" spans="1:1" x14ac:dyDescent="0.25">
      <c r="A133" s="42"/>
    </row>
    <row r="134" spans="1:1" x14ac:dyDescent="0.25">
      <c r="A134" s="42"/>
    </row>
    <row r="135" spans="1:1" x14ac:dyDescent="0.25">
      <c r="A135" s="42"/>
    </row>
    <row r="136" spans="1:1" x14ac:dyDescent="0.25">
      <c r="A136" s="42"/>
    </row>
    <row r="137" spans="1:1" x14ac:dyDescent="0.25">
      <c r="A137" s="42"/>
    </row>
    <row r="138" spans="1:1" x14ac:dyDescent="0.25">
      <c r="A138" s="42"/>
    </row>
    <row r="139" spans="1:1" x14ac:dyDescent="0.25">
      <c r="A139" s="42"/>
    </row>
    <row r="140" spans="1:1" x14ac:dyDescent="0.25">
      <c r="A140" s="42"/>
    </row>
    <row r="141" spans="1:1" x14ac:dyDescent="0.25">
      <c r="A141" s="42"/>
    </row>
    <row r="142" spans="1:1" x14ac:dyDescent="0.25">
      <c r="A142" s="42"/>
    </row>
    <row r="143" spans="1:1" x14ac:dyDescent="0.25">
      <c r="A143" s="42"/>
    </row>
    <row r="144" spans="1:1" x14ac:dyDescent="0.25">
      <c r="A144" s="42"/>
    </row>
    <row r="145" spans="1:1" x14ac:dyDescent="0.25">
      <c r="A145" s="42"/>
    </row>
    <row r="146" spans="1:1" x14ac:dyDescent="0.25">
      <c r="A146" s="42"/>
    </row>
    <row r="147" spans="1:1" x14ac:dyDescent="0.25">
      <c r="A147" s="42"/>
    </row>
    <row r="148" spans="1:1" x14ac:dyDescent="0.25">
      <c r="A148" s="42"/>
    </row>
    <row r="149" spans="1:1" x14ac:dyDescent="0.25">
      <c r="A149" s="42"/>
    </row>
    <row r="150" spans="1:1" x14ac:dyDescent="0.25">
      <c r="A150" s="42"/>
    </row>
    <row r="151" spans="1:1" x14ac:dyDescent="0.25">
      <c r="A151" s="42"/>
    </row>
    <row r="152" spans="1:1" x14ac:dyDescent="0.25">
      <c r="A152" s="42"/>
    </row>
    <row r="153" spans="1:1" x14ac:dyDescent="0.25">
      <c r="A153" s="42"/>
    </row>
    <row r="154" spans="1:1" x14ac:dyDescent="0.25">
      <c r="A154" s="42"/>
    </row>
    <row r="155" spans="1:1" x14ac:dyDescent="0.25">
      <c r="A155" s="42"/>
    </row>
    <row r="156" spans="1:1" x14ac:dyDescent="0.25">
      <c r="A156" s="42"/>
    </row>
    <row r="157" spans="1:1" x14ac:dyDescent="0.25">
      <c r="A157" s="42"/>
    </row>
    <row r="158" spans="1:1" x14ac:dyDescent="0.25">
      <c r="A158" s="42"/>
    </row>
    <row r="159" spans="1:1" x14ac:dyDescent="0.25">
      <c r="A159" s="42"/>
    </row>
    <row r="160" spans="1:1" x14ac:dyDescent="0.25">
      <c r="A160" s="42"/>
    </row>
    <row r="161" spans="1:1" x14ac:dyDescent="0.25">
      <c r="A161" s="42"/>
    </row>
    <row r="162" spans="1:1" x14ac:dyDescent="0.25">
      <c r="A162" s="42"/>
    </row>
    <row r="163" spans="1:1" x14ac:dyDescent="0.25">
      <c r="A163" s="42"/>
    </row>
    <row r="164" spans="1:1" x14ac:dyDescent="0.25">
      <c r="A164" s="42"/>
    </row>
    <row r="165" spans="1:1" x14ac:dyDescent="0.25">
      <c r="A165" s="42"/>
    </row>
    <row r="166" spans="1:1" x14ac:dyDescent="0.25">
      <c r="A166" s="42"/>
    </row>
    <row r="167" spans="1:1" x14ac:dyDescent="0.25">
      <c r="A167" s="42"/>
    </row>
    <row r="168" spans="1:1" x14ac:dyDescent="0.25">
      <c r="A168" s="42"/>
    </row>
    <row r="169" spans="1:1" x14ac:dyDescent="0.25">
      <c r="A169" s="42"/>
    </row>
    <row r="170" spans="1:1" x14ac:dyDescent="0.25">
      <c r="A170" s="42"/>
    </row>
    <row r="171" spans="1:1" x14ac:dyDescent="0.25">
      <c r="A171" s="42"/>
    </row>
    <row r="172" spans="1:1" x14ac:dyDescent="0.25">
      <c r="A172" s="42"/>
    </row>
    <row r="173" spans="1:1" x14ac:dyDescent="0.25">
      <c r="A173" s="42"/>
    </row>
    <row r="174" spans="1:1" x14ac:dyDescent="0.25">
      <c r="A174" s="42"/>
    </row>
    <row r="175" spans="1:1" x14ac:dyDescent="0.25">
      <c r="A175" s="42"/>
    </row>
    <row r="176" spans="1:1" x14ac:dyDescent="0.25">
      <c r="A176" s="42"/>
    </row>
    <row r="177" spans="1:1" x14ac:dyDescent="0.25">
      <c r="A177" s="42"/>
    </row>
    <row r="178" spans="1:1" x14ac:dyDescent="0.25">
      <c r="A178" s="42"/>
    </row>
    <row r="179" spans="1:1" x14ac:dyDescent="0.25">
      <c r="A179" s="42"/>
    </row>
    <row r="180" spans="1:1" x14ac:dyDescent="0.25">
      <c r="A180" s="42"/>
    </row>
    <row r="181" spans="1:1" x14ac:dyDescent="0.25">
      <c r="A181" s="42"/>
    </row>
    <row r="182" spans="1:1" x14ac:dyDescent="0.25">
      <c r="A182" s="42"/>
    </row>
    <row r="183" spans="1:1" x14ac:dyDescent="0.25">
      <c r="A183" s="42"/>
    </row>
    <row r="184" spans="1:1" x14ac:dyDescent="0.25">
      <c r="A184" s="42"/>
    </row>
    <row r="185" spans="1:1" x14ac:dyDescent="0.25">
      <c r="A185" s="42"/>
    </row>
    <row r="186" spans="1:1" x14ac:dyDescent="0.25">
      <c r="A186" s="42"/>
    </row>
    <row r="187" spans="1:1" x14ac:dyDescent="0.25">
      <c r="A187" s="42"/>
    </row>
    <row r="188" spans="1:1" x14ac:dyDescent="0.25">
      <c r="A188" s="42"/>
    </row>
    <row r="189" spans="1:1" x14ac:dyDescent="0.25">
      <c r="A189" s="42"/>
    </row>
    <row r="190" spans="1:1" x14ac:dyDescent="0.25">
      <c r="A190" s="42"/>
    </row>
    <row r="191" spans="1:1" x14ac:dyDescent="0.25">
      <c r="A191" s="42"/>
    </row>
    <row r="192" spans="1:1" x14ac:dyDescent="0.25">
      <c r="A192" s="42"/>
    </row>
    <row r="193" spans="1:1" x14ac:dyDescent="0.25">
      <c r="A193" s="42"/>
    </row>
    <row r="194" spans="1:1" x14ac:dyDescent="0.25">
      <c r="A194" s="42"/>
    </row>
    <row r="195" spans="1:1" x14ac:dyDescent="0.25">
      <c r="A195" s="42"/>
    </row>
    <row r="196" spans="1:1" x14ac:dyDescent="0.25">
      <c r="A196" s="42"/>
    </row>
    <row r="197" spans="1:1" x14ac:dyDescent="0.25">
      <c r="A197" s="42"/>
    </row>
    <row r="198" spans="1:1" x14ac:dyDescent="0.25">
      <c r="A198" s="42"/>
    </row>
    <row r="199" spans="1:1" x14ac:dyDescent="0.25">
      <c r="A199" s="42"/>
    </row>
    <row r="200" spans="1:1" x14ac:dyDescent="0.25">
      <c r="A200" s="42"/>
    </row>
    <row r="201" spans="1:1" x14ac:dyDescent="0.25">
      <c r="A201" s="42"/>
    </row>
    <row r="202" spans="1:1" x14ac:dyDescent="0.25">
      <c r="A202" s="42"/>
    </row>
    <row r="203" spans="1:1" x14ac:dyDescent="0.25">
      <c r="A203" s="42"/>
    </row>
    <row r="204" spans="1:1" x14ac:dyDescent="0.25">
      <c r="A204" s="42"/>
    </row>
    <row r="205" spans="1:1" x14ac:dyDescent="0.25">
      <c r="A205" s="42"/>
    </row>
    <row r="206" spans="1:1" x14ac:dyDescent="0.25">
      <c r="A206" s="42"/>
    </row>
    <row r="207" spans="1:1" x14ac:dyDescent="0.25">
      <c r="A207" s="42"/>
    </row>
    <row r="208" spans="1:1" x14ac:dyDescent="0.25">
      <c r="A208" s="42"/>
    </row>
    <row r="209" spans="1:1" x14ac:dyDescent="0.25">
      <c r="A209" s="42"/>
    </row>
    <row r="210" spans="1:1" x14ac:dyDescent="0.25">
      <c r="A210" s="42"/>
    </row>
    <row r="211" spans="1:1" x14ac:dyDescent="0.25">
      <c r="A211" s="42"/>
    </row>
    <row r="212" spans="1:1" x14ac:dyDescent="0.25">
      <c r="A212" s="42"/>
    </row>
    <row r="213" spans="1:1" x14ac:dyDescent="0.25">
      <c r="A213" s="42"/>
    </row>
    <row r="214" spans="1:1" x14ac:dyDescent="0.25">
      <c r="A214" s="42"/>
    </row>
    <row r="215" spans="1:1" x14ac:dyDescent="0.25">
      <c r="A215" s="42"/>
    </row>
    <row r="216" spans="1:1" x14ac:dyDescent="0.25">
      <c r="A216" s="42"/>
    </row>
    <row r="217" spans="1:1" x14ac:dyDescent="0.25">
      <c r="A217" s="42"/>
    </row>
    <row r="218" spans="1:1" x14ac:dyDescent="0.25">
      <c r="A218" s="42"/>
    </row>
    <row r="219" spans="1:1" x14ac:dyDescent="0.25">
      <c r="A219" s="42"/>
    </row>
    <row r="220" spans="1:1" x14ac:dyDescent="0.25">
      <c r="A220" s="42"/>
    </row>
    <row r="221" spans="1:1" x14ac:dyDescent="0.25">
      <c r="A221" s="42"/>
    </row>
    <row r="222" spans="1:1" x14ac:dyDescent="0.25">
      <c r="A222" s="42"/>
    </row>
    <row r="223" spans="1:1" x14ac:dyDescent="0.25">
      <c r="A223" s="42"/>
    </row>
    <row r="224" spans="1:1" x14ac:dyDescent="0.25">
      <c r="A224" s="42"/>
    </row>
    <row r="225" spans="1:1" x14ac:dyDescent="0.25">
      <c r="A225" s="42"/>
    </row>
    <row r="226" spans="1:1" x14ac:dyDescent="0.25">
      <c r="A226" s="42"/>
    </row>
    <row r="227" spans="1:1" x14ac:dyDescent="0.25">
      <c r="A227" s="42"/>
    </row>
    <row r="228" spans="1:1" x14ac:dyDescent="0.25">
      <c r="A228" s="42"/>
    </row>
    <row r="229" spans="1:1" x14ac:dyDescent="0.25">
      <c r="A229" s="42"/>
    </row>
    <row r="230" spans="1:1" x14ac:dyDescent="0.25">
      <c r="A230" s="42"/>
    </row>
    <row r="231" spans="1:1" x14ac:dyDescent="0.25">
      <c r="A231" s="42"/>
    </row>
    <row r="232" spans="1:1" x14ac:dyDescent="0.25">
      <c r="A232" s="42"/>
    </row>
    <row r="233" spans="1:1" x14ac:dyDescent="0.25">
      <c r="A233" s="42"/>
    </row>
    <row r="234" spans="1:1" x14ac:dyDescent="0.25">
      <c r="A234" s="42"/>
    </row>
    <row r="235" spans="1:1" x14ac:dyDescent="0.25">
      <c r="A235" s="42"/>
    </row>
    <row r="236" spans="1:1" x14ac:dyDescent="0.25">
      <c r="A236" s="42"/>
    </row>
    <row r="237" spans="1:1" x14ac:dyDescent="0.25">
      <c r="A237" s="42"/>
    </row>
    <row r="238" spans="1:1" x14ac:dyDescent="0.25">
      <c r="A238" s="42"/>
    </row>
    <row r="239" spans="1:1" x14ac:dyDescent="0.25">
      <c r="A239" s="42"/>
    </row>
    <row r="240" spans="1:1" x14ac:dyDescent="0.25">
      <c r="A240" s="42"/>
    </row>
    <row r="241" spans="1:1" x14ac:dyDescent="0.25">
      <c r="A241" s="42"/>
    </row>
    <row r="242" spans="1:1" x14ac:dyDescent="0.25">
      <c r="A242" s="42"/>
    </row>
    <row r="243" spans="1:1" x14ac:dyDescent="0.25">
      <c r="A243" s="42"/>
    </row>
    <row r="244" spans="1:1" x14ac:dyDescent="0.25">
      <c r="A244" s="42"/>
    </row>
    <row r="245" spans="1:1" x14ac:dyDescent="0.25">
      <c r="A245" s="42"/>
    </row>
    <row r="246" spans="1:1" x14ac:dyDescent="0.25">
      <c r="A246" s="42"/>
    </row>
    <row r="247" spans="1:1" x14ac:dyDescent="0.25">
      <c r="A247" s="42"/>
    </row>
    <row r="248" spans="1:1" x14ac:dyDescent="0.25">
      <c r="A248" s="42"/>
    </row>
    <row r="249" spans="1:1" x14ac:dyDescent="0.25">
      <c r="A249" s="42"/>
    </row>
    <row r="250" spans="1:1" x14ac:dyDescent="0.25">
      <c r="A250" s="42"/>
    </row>
    <row r="251" spans="1:1" x14ac:dyDescent="0.25">
      <c r="A251" s="42"/>
    </row>
    <row r="252" spans="1:1" x14ac:dyDescent="0.25">
      <c r="A252" s="42"/>
    </row>
    <row r="253" spans="1:1" x14ac:dyDescent="0.25">
      <c r="A253" s="42"/>
    </row>
    <row r="254" spans="1:1" x14ac:dyDescent="0.25">
      <c r="A254" s="42"/>
    </row>
    <row r="255" spans="1:1" x14ac:dyDescent="0.25">
      <c r="A255" s="42"/>
    </row>
    <row r="256" spans="1:1" x14ac:dyDescent="0.25">
      <c r="A256" s="42"/>
    </row>
    <row r="257" spans="1:1" x14ac:dyDescent="0.25">
      <c r="A257" s="42"/>
    </row>
    <row r="258" spans="1:1" x14ac:dyDescent="0.25">
      <c r="A258" s="42"/>
    </row>
    <row r="259" spans="1:1" x14ac:dyDescent="0.25">
      <c r="A259" s="42"/>
    </row>
    <row r="260" spans="1:1" x14ac:dyDescent="0.25">
      <c r="A260" s="42"/>
    </row>
    <row r="261" spans="1:1" x14ac:dyDescent="0.25">
      <c r="A261" s="42"/>
    </row>
    <row r="262" spans="1:1" x14ac:dyDescent="0.25">
      <c r="A262" s="42"/>
    </row>
    <row r="263" spans="1:1" x14ac:dyDescent="0.25">
      <c r="A263" s="42"/>
    </row>
    <row r="264" spans="1:1" x14ac:dyDescent="0.25">
      <c r="A264" s="42"/>
    </row>
    <row r="265" spans="1:1" x14ac:dyDescent="0.25">
      <c r="A265" s="42"/>
    </row>
    <row r="266" spans="1:1" x14ac:dyDescent="0.25">
      <c r="A266" s="42"/>
    </row>
    <row r="267" spans="1:1" x14ac:dyDescent="0.25">
      <c r="A267" s="42"/>
    </row>
    <row r="268" spans="1:1" x14ac:dyDescent="0.25">
      <c r="A268" s="42"/>
    </row>
    <row r="269" spans="1:1" x14ac:dyDescent="0.25">
      <c r="A269" s="42"/>
    </row>
    <row r="270" spans="1:1" x14ac:dyDescent="0.25">
      <c r="A270" s="42"/>
    </row>
    <row r="271" spans="1:1" x14ac:dyDescent="0.25">
      <c r="A271" s="42"/>
    </row>
    <row r="272" spans="1:1" x14ac:dyDescent="0.25">
      <c r="A272" s="42"/>
    </row>
    <row r="273" spans="1:1" x14ac:dyDescent="0.25">
      <c r="A273" s="42"/>
    </row>
    <row r="274" spans="1:1" x14ac:dyDescent="0.25">
      <c r="A274" s="42"/>
    </row>
    <row r="275" spans="1:1" x14ac:dyDescent="0.25">
      <c r="A275" s="42"/>
    </row>
    <row r="276" spans="1:1" x14ac:dyDescent="0.25">
      <c r="A276" s="42"/>
    </row>
    <row r="277" spans="1:1" x14ac:dyDescent="0.25">
      <c r="A277" s="42"/>
    </row>
    <row r="278" spans="1:1" x14ac:dyDescent="0.25">
      <c r="A278" s="42"/>
    </row>
    <row r="279" spans="1:1" x14ac:dyDescent="0.25">
      <c r="A279" s="42"/>
    </row>
    <row r="280" spans="1:1" x14ac:dyDescent="0.25">
      <c r="A280" s="42"/>
    </row>
    <row r="281" spans="1:1" x14ac:dyDescent="0.25">
      <c r="A281" s="42"/>
    </row>
    <row r="282" spans="1:1" x14ac:dyDescent="0.25">
      <c r="A282" s="42"/>
    </row>
    <row r="283" spans="1:1" x14ac:dyDescent="0.25">
      <c r="A283" s="42"/>
    </row>
    <row r="284" spans="1:1" x14ac:dyDescent="0.25">
      <c r="A284" s="42"/>
    </row>
    <row r="285" spans="1:1" x14ac:dyDescent="0.25">
      <c r="A285" s="42"/>
    </row>
    <row r="286" spans="1:1" x14ac:dyDescent="0.25">
      <c r="A286" s="42"/>
    </row>
    <row r="287" spans="1:1" x14ac:dyDescent="0.25">
      <c r="A287" s="42"/>
    </row>
    <row r="288" spans="1:1" x14ac:dyDescent="0.25">
      <c r="A288" s="42"/>
    </row>
    <row r="289" spans="1:1" x14ac:dyDescent="0.25">
      <c r="A289" s="42"/>
    </row>
    <row r="290" spans="1:1" x14ac:dyDescent="0.25">
      <c r="A290" s="42"/>
    </row>
    <row r="291" spans="1:1" x14ac:dyDescent="0.25">
      <c r="A291" s="42"/>
    </row>
    <row r="292" spans="1:1" x14ac:dyDescent="0.25">
      <c r="A292" s="42"/>
    </row>
    <row r="293" spans="1:1" x14ac:dyDescent="0.25">
      <c r="A293" s="42"/>
    </row>
    <row r="294" spans="1:1" x14ac:dyDescent="0.25">
      <c r="A294" s="42"/>
    </row>
    <row r="295" spans="1:1" x14ac:dyDescent="0.25">
      <c r="A295" s="42"/>
    </row>
    <row r="296" spans="1:1" x14ac:dyDescent="0.25">
      <c r="A296" s="42"/>
    </row>
    <row r="297" spans="1:1" x14ac:dyDescent="0.25">
      <c r="A297" s="42"/>
    </row>
    <row r="298" spans="1:1" x14ac:dyDescent="0.25">
      <c r="A298" s="42"/>
    </row>
    <row r="299" spans="1:1" x14ac:dyDescent="0.25">
      <c r="A299" s="42"/>
    </row>
    <row r="300" spans="1:1" x14ac:dyDescent="0.25">
      <c r="A300" s="42"/>
    </row>
    <row r="301" spans="1:1" x14ac:dyDescent="0.25">
      <c r="A301" s="42"/>
    </row>
    <row r="302" spans="1:1" x14ac:dyDescent="0.25">
      <c r="A302" s="42"/>
    </row>
    <row r="303" spans="1:1" x14ac:dyDescent="0.25">
      <c r="A303" s="42"/>
    </row>
    <row r="304" spans="1:1" x14ac:dyDescent="0.25">
      <c r="A304" s="42"/>
    </row>
    <row r="305" spans="1:1" x14ac:dyDescent="0.25">
      <c r="A305" s="42"/>
    </row>
    <row r="306" spans="1:1" x14ac:dyDescent="0.25">
      <c r="A306" s="42"/>
    </row>
    <row r="307" spans="1:1" x14ac:dyDescent="0.25">
      <c r="A307" s="42"/>
    </row>
    <row r="308" spans="1:1" x14ac:dyDescent="0.25">
      <c r="A308" s="42"/>
    </row>
    <row r="309" spans="1:1" x14ac:dyDescent="0.25">
      <c r="A309" s="42"/>
    </row>
    <row r="310" spans="1:1" x14ac:dyDescent="0.25">
      <c r="A310" s="42"/>
    </row>
    <row r="311" spans="1:1" x14ac:dyDescent="0.25">
      <c r="A311" s="42"/>
    </row>
    <row r="312" spans="1:1" x14ac:dyDescent="0.25">
      <c r="A312" s="42"/>
    </row>
    <row r="313" spans="1:1" x14ac:dyDescent="0.25">
      <c r="A313" s="42"/>
    </row>
    <row r="314" spans="1:1" x14ac:dyDescent="0.25">
      <c r="A314" s="42"/>
    </row>
    <row r="315" spans="1:1" x14ac:dyDescent="0.25">
      <c r="A315" s="42"/>
    </row>
    <row r="316" spans="1:1" x14ac:dyDescent="0.25">
      <c r="A316" s="42"/>
    </row>
    <row r="317" spans="1:1" x14ac:dyDescent="0.25">
      <c r="A317" s="42"/>
    </row>
    <row r="318" spans="1:1" x14ac:dyDescent="0.25">
      <c r="A318" s="42"/>
    </row>
    <row r="319" spans="1:1" x14ac:dyDescent="0.25">
      <c r="A319" s="42"/>
    </row>
    <row r="320" spans="1:1" x14ac:dyDescent="0.25">
      <c r="A320" s="42"/>
    </row>
    <row r="321" spans="1:1" x14ac:dyDescent="0.25">
      <c r="A321" s="42"/>
    </row>
    <row r="322" spans="1:1" x14ac:dyDescent="0.25">
      <c r="A322" s="42"/>
    </row>
    <row r="323" spans="1:1" x14ac:dyDescent="0.25">
      <c r="A323" s="42"/>
    </row>
    <row r="324" spans="1:1" x14ac:dyDescent="0.25">
      <c r="A324" s="42"/>
    </row>
    <row r="325" spans="1:1" x14ac:dyDescent="0.25">
      <c r="A325" s="42"/>
    </row>
    <row r="326" spans="1:1" x14ac:dyDescent="0.25">
      <c r="A326" s="42"/>
    </row>
    <row r="327" spans="1:1" x14ac:dyDescent="0.25">
      <c r="A327" s="42"/>
    </row>
    <row r="328" spans="1:1" x14ac:dyDescent="0.25">
      <c r="A328" s="42"/>
    </row>
    <row r="329" spans="1:1" x14ac:dyDescent="0.25">
      <c r="A329" s="42"/>
    </row>
    <row r="330" spans="1:1" x14ac:dyDescent="0.25">
      <c r="A330" s="42"/>
    </row>
    <row r="331" spans="1:1" x14ac:dyDescent="0.25">
      <c r="A331" s="42"/>
    </row>
    <row r="332" spans="1:1" x14ac:dyDescent="0.25">
      <c r="A332" s="42"/>
    </row>
    <row r="333" spans="1:1" x14ac:dyDescent="0.25">
      <c r="A333" s="42"/>
    </row>
    <row r="334" spans="1:1" x14ac:dyDescent="0.25">
      <c r="A334" s="42"/>
    </row>
    <row r="335" spans="1:1" x14ac:dyDescent="0.25">
      <c r="A335" s="42"/>
    </row>
    <row r="336" spans="1:1" x14ac:dyDescent="0.25">
      <c r="A336" s="42"/>
    </row>
    <row r="337" spans="1:1" x14ac:dyDescent="0.25">
      <c r="A337" s="42"/>
    </row>
    <row r="338" spans="1:1" x14ac:dyDescent="0.25">
      <c r="A338" s="42"/>
    </row>
    <row r="339" spans="1:1" x14ac:dyDescent="0.25">
      <c r="A339" s="42"/>
    </row>
    <row r="340" spans="1:1" x14ac:dyDescent="0.25">
      <c r="A340" s="42"/>
    </row>
    <row r="341" spans="1:1" x14ac:dyDescent="0.25">
      <c r="A341" s="42"/>
    </row>
    <row r="342" spans="1:1" x14ac:dyDescent="0.25">
      <c r="A342" s="42"/>
    </row>
    <row r="343" spans="1:1" x14ac:dyDescent="0.25">
      <c r="A343" s="42"/>
    </row>
    <row r="344" spans="1:1" x14ac:dyDescent="0.25">
      <c r="A344" s="42"/>
    </row>
    <row r="345" spans="1:1" x14ac:dyDescent="0.25">
      <c r="A345" s="42"/>
    </row>
    <row r="346" spans="1:1" x14ac:dyDescent="0.25">
      <c r="A346" s="42"/>
    </row>
    <row r="347" spans="1:1" x14ac:dyDescent="0.25">
      <c r="A347" s="42"/>
    </row>
    <row r="348" spans="1:1" x14ac:dyDescent="0.25">
      <c r="A348" s="42"/>
    </row>
    <row r="349" spans="1:1" x14ac:dyDescent="0.25">
      <c r="A349" s="42"/>
    </row>
    <row r="350" spans="1:1" x14ac:dyDescent="0.25">
      <c r="A350" s="42"/>
    </row>
    <row r="351" spans="1:1" x14ac:dyDescent="0.25">
      <c r="A351" s="42"/>
    </row>
    <row r="352" spans="1:1" x14ac:dyDescent="0.25">
      <c r="A352" s="42"/>
    </row>
    <row r="353" spans="1:1" x14ac:dyDescent="0.25">
      <c r="A353" s="42"/>
    </row>
    <row r="354" spans="1:1" x14ac:dyDescent="0.25">
      <c r="A354" s="42"/>
    </row>
    <row r="355" spans="1:1" x14ac:dyDescent="0.25">
      <c r="A355" s="42"/>
    </row>
    <row r="356" spans="1:1" x14ac:dyDescent="0.25">
      <c r="A356" s="42"/>
    </row>
    <row r="357" spans="1:1" x14ac:dyDescent="0.25">
      <c r="A357" s="42"/>
    </row>
    <row r="358" spans="1:1" x14ac:dyDescent="0.25">
      <c r="A358" s="42"/>
    </row>
    <row r="359" spans="1:1" x14ac:dyDescent="0.25">
      <c r="A359" s="42"/>
    </row>
    <row r="360" spans="1:1" x14ac:dyDescent="0.25">
      <c r="A360" s="42"/>
    </row>
    <row r="361" spans="1:1" x14ac:dyDescent="0.25">
      <c r="A361" s="42"/>
    </row>
    <row r="362" spans="1:1" x14ac:dyDescent="0.25">
      <c r="A362" s="42"/>
    </row>
    <row r="363" spans="1:1" x14ac:dyDescent="0.25">
      <c r="A363" s="42"/>
    </row>
    <row r="364" spans="1:1" x14ac:dyDescent="0.25">
      <c r="A364" s="42"/>
    </row>
    <row r="365" spans="1:1" x14ac:dyDescent="0.25">
      <c r="A365" s="42"/>
    </row>
    <row r="366" spans="1:1" x14ac:dyDescent="0.25">
      <c r="A366" s="42"/>
    </row>
    <row r="367" spans="1:1" x14ac:dyDescent="0.25">
      <c r="A367" s="42"/>
    </row>
    <row r="368" spans="1:1" x14ac:dyDescent="0.25">
      <c r="A368" s="42"/>
    </row>
    <row r="369" spans="1:1" x14ac:dyDescent="0.25">
      <c r="A369" s="42"/>
    </row>
    <row r="370" spans="1:1" x14ac:dyDescent="0.25">
      <c r="A370" s="42"/>
    </row>
    <row r="371" spans="1:1" x14ac:dyDescent="0.25">
      <c r="A371" s="42"/>
    </row>
    <row r="372" spans="1:1" x14ac:dyDescent="0.25">
      <c r="A372" s="42"/>
    </row>
    <row r="373" spans="1:1" x14ac:dyDescent="0.25">
      <c r="A373" s="42"/>
    </row>
    <row r="374" spans="1:1" x14ac:dyDescent="0.25">
      <c r="A374" s="42"/>
    </row>
    <row r="375" spans="1:1" x14ac:dyDescent="0.25">
      <c r="A375" s="42"/>
    </row>
    <row r="376" spans="1:1" x14ac:dyDescent="0.25">
      <c r="A376" s="42"/>
    </row>
    <row r="377" spans="1:1" x14ac:dyDescent="0.25">
      <c r="A377" s="42"/>
    </row>
    <row r="378" spans="1:1" x14ac:dyDescent="0.25">
      <c r="A378" s="42"/>
    </row>
    <row r="379" spans="1:1" x14ac:dyDescent="0.25">
      <c r="A379" s="42"/>
    </row>
    <row r="380" spans="1:1" x14ac:dyDescent="0.25">
      <c r="A380" s="42"/>
    </row>
    <row r="381" spans="1:1" x14ac:dyDescent="0.25">
      <c r="A381" s="42"/>
    </row>
    <row r="382" spans="1:1" x14ac:dyDescent="0.25">
      <c r="A382" s="42"/>
    </row>
    <row r="383" spans="1:1" x14ac:dyDescent="0.25">
      <c r="A383" s="42"/>
    </row>
    <row r="384" spans="1:1" x14ac:dyDescent="0.25">
      <c r="A384" s="42"/>
    </row>
    <row r="385" spans="1:1" x14ac:dyDescent="0.25">
      <c r="A385" s="42"/>
    </row>
    <row r="386" spans="1:1" x14ac:dyDescent="0.25">
      <c r="A386" s="42"/>
    </row>
    <row r="387" spans="1:1" x14ac:dyDescent="0.25">
      <c r="A387" s="42"/>
    </row>
    <row r="388" spans="1:1" x14ac:dyDescent="0.25">
      <c r="A388" s="42"/>
    </row>
    <row r="389" spans="1:1" x14ac:dyDescent="0.25">
      <c r="A389" s="42"/>
    </row>
    <row r="390" spans="1:1" x14ac:dyDescent="0.25">
      <c r="A390" s="42"/>
    </row>
    <row r="391" spans="1:1" x14ac:dyDescent="0.25">
      <c r="A391" s="42"/>
    </row>
    <row r="392" spans="1:1" x14ac:dyDescent="0.25">
      <c r="A392" s="42"/>
    </row>
    <row r="393" spans="1:1" x14ac:dyDescent="0.25">
      <c r="A393" s="42"/>
    </row>
    <row r="394" spans="1:1" x14ac:dyDescent="0.25">
      <c r="A394" s="42"/>
    </row>
    <row r="395" spans="1:1" x14ac:dyDescent="0.25">
      <c r="A395" s="42"/>
    </row>
    <row r="396" spans="1:1" x14ac:dyDescent="0.25">
      <c r="A396" s="42"/>
    </row>
    <row r="397" spans="1:1" x14ac:dyDescent="0.25">
      <c r="A397" s="42"/>
    </row>
    <row r="398" spans="1:1" x14ac:dyDescent="0.25">
      <c r="A398" s="42"/>
    </row>
    <row r="399" spans="1:1" x14ac:dyDescent="0.25">
      <c r="A399" s="42"/>
    </row>
    <row r="400" spans="1:1" x14ac:dyDescent="0.25">
      <c r="A400" s="42"/>
    </row>
    <row r="401" spans="1:1" x14ac:dyDescent="0.25">
      <c r="A401" s="42"/>
    </row>
    <row r="402" spans="1:1" x14ac:dyDescent="0.25">
      <c r="A402" s="42"/>
    </row>
    <row r="403" spans="1:1" x14ac:dyDescent="0.25">
      <c r="A403" s="42"/>
    </row>
    <row r="404" spans="1:1" x14ac:dyDescent="0.25">
      <c r="A404" s="42"/>
    </row>
    <row r="405" spans="1:1" x14ac:dyDescent="0.25">
      <c r="A405" s="42"/>
    </row>
    <row r="406" spans="1:1" x14ac:dyDescent="0.25">
      <c r="A406" s="42"/>
    </row>
    <row r="407" spans="1:1" x14ac:dyDescent="0.25">
      <c r="A407" s="42"/>
    </row>
    <row r="408" spans="1:1" x14ac:dyDescent="0.25">
      <c r="A408" s="42"/>
    </row>
    <row r="409" spans="1:1" x14ac:dyDescent="0.25">
      <c r="A409" s="42"/>
    </row>
    <row r="410" spans="1:1" x14ac:dyDescent="0.25">
      <c r="A410" s="42"/>
    </row>
    <row r="411" spans="1:1" x14ac:dyDescent="0.25">
      <c r="A411" s="42"/>
    </row>
    <row r="412" spans="1:1" x14ac:dyDescent="0.25">
      <c r="A412" s="42"/>
    </row>
    <row r="413" spans="1:1" x14ac:dyDescent="0.25">
      <c r="A413" s="42"/>
    </row>
    <row r="414" spans="1:1" x14ac:dyDescent="0.25">
      <c r="A414" s="42"/>
    </row>
    <row r="415" spans="1:1" x14ac:dyDescent="0.25">
      <c r="A415" s="42"/>
    </row>
    <row r="416" spans="1:1" x14ac:dyDescent="0.25">
      <c r="A416" s="42"/>
    </row>
    <row r="417" spans="1:1" x14ac:dyDescent="0.25">
      <c r="A417" s="42"/>
    </row>
    <row r="418" spans="1:1" x14ac:dyDescent="0.25">
      <c r="A418" s="42"/>
    </row>
    <row r="419" spans="1:1" x14ac:dyDescent="0.25">
      <c r="A419" s="42"/>
    </row>
    <row r="420" spans="1:1" x14ac:dyDescent="0.25">
      <c r="A420" s="42"/>
    </row>
    <row r="421" spans="1:1" x14ac:dyDescent="0.25">
      <c r="A421" s="42"/>
    </row>
    <row r="422" spans="1:1" x14ac:dyDescent="0.25">
      <c r="A422" s="42"/>
    </row>
    <row r="423" spans="1:1" x14ac:dyDescent="0.25">
      <c r="A423" s="42"/>
    </row>
    <row r="424" spans="1:1" x14ac:dyDescent="0.25">
      <c r="A424" s="42"/>
    </row>
    <row r="425" spans="1:1" x14ac:dyDescent="0.25">
      <c r="A425" s="42"/>
    </row>
    <row r="426" spans="1:1" x14ac:dyDescent="0.25">
      <c r="A426" s="42"/>
    </row>
    <row r="427" spans="1:1" x14ac:dyDescent="0.25">
      <c r="A427" s="42"/>
    </row>
    <row r="428" spans="1:1" x14ac:dyDescent="0.25">
      <c r="A428" s="42"/>
    </row>
    <row r="429" spans="1:1" x14ac:dyDescent="0.25">
      <c r="A429" s="42"/>
    </row>
    <row r="430" spans="1:1" x14ac:dyDescent="0.25">
      <c r="A430" s="42"/>
    </row>
    <row r="431" spans="1:1" x14ac:dyDescent="0.25">
      <c r="A431" s="42"/>
    </row>
    <row r="432" spans="1:1" x14ac:dyDescent="0.25">
      <c r="A432" s="42"/>
    </row>
    <row r="433" spans="1:1" x14ac:dyDescent="0.25">
      <c r="A433" s="42"/>
    </row>
    <row r="434" spans="1:1" x14ac:dyDescent="0.25">
      <c r="A434" s="42"/>
    </row>
    <row r="435" spans="1:1" x14ac:dyDescent="0.25">
      <c r="A435" s="42"/>
    </row>
    <row r="436" spans="1:1" x14ac:dyDescent="0.25">
      <c r="A436" s="42"/>
    </row>
    <row r="437" spans="1:1" x14ac:dyDescent="0.25">
      <c r="A437" s="42"/>
    </row>
    <row r="438" spans="1:1" x14ac:dyDescent="0.25">
      <c r="A438" s="42"/>
    </row>
    <row r="439" spans="1:1" x14ac:dyDescent="0.25">
      <c r="A439" s="42"/>
    </row>
    <row r="440" spans="1:1" x14ac:dyDescent="0.25">
      <c r="A440" s="42"/>
    </row>
    <row r="441" spans="1:1" x14ac:dyDescent="0.25">
      <c r="A441" s="42"/>
    </row>
    <row r="442" spans="1:1" x14ac:dyDescent="0.25">
      <c r="A442" s="42"/>
    </row>
    <row r="443" spans="1:1" x14ac:dyDescent="0.25">
      <c r="A443" s="42"/>
    </row>
    <row r="444" spans="1:1" x14ac:dyDescent="0.25">
      <c r="A444" s="42"/>
    </row>
    <row r="445" spans="1:1" x14ac:dyDescent="0.25">
      <c r="A445" s="42"/>
    </row>
    <row r="446" spans="1:1" x14ac:dyDescent="0.25">
      <c r="A446" s="42"/>
    </row>
    <row r="447" spans="1:1" x14ac:dyDescent="0.25">
      <c r="A447" s="42"/>
    </row>
    <row r="448" spans="1:1" x14ac:dyDescent="0.25">
      <c r="A448" s="42"/>
    </row>
    <row r="449" spans="1:1" x14ac:dyDescent="0.25">
      <c r="A449" s="42"/>
    </row>
    <row r="450" spans="1:1" x14ac:dyDescent="0.25">
      <c r="A450" s="42"/>
    </row>
    <row r="451" spans="1:1" x14ac:dyDescent="0.25">
      <c r="A451" s="42"/>
    </row>
    <row r="452" spans="1:1" x14ac:dyDescent="0.25">
      <c r="A452" s="42"/>
    </row>
    <row r="453" spans="1:1" x14ac:dyDescent="0.25">
      <c r="A453" s="42"/>
    </row>
    <row r="454" spans="1:1" x14ac:dyDescent="0.25">
      <c r="A454" s="42"/>
    </row>
    <row r="455" spans="1:1" x14ac:dyDescent="0.25">
      <c r="A455" s="42"/>
    </row>
    <row r="456" spans="1:1" x14ac:dyDescent="0.25">
      <c r="A456" s="42"/>
    </row>
    <row r="457" spans="1:1" x14ac:dyDescent="0.25">
      <c r="A457" s="42"/>
    </row>
    <row r="458" spans="1:1" x14ac:dyDescent="0.25">
      <c r="A458" s="42"/>
    </row>
    <row r="459" spans="1:1" x14ac:dyDescent="0.25">
      <c r="A459" s="42"/>
    </row>
    <row r="460" spans="1:1" x14ac:dyDescent="0.25">
      <c r="A460" s="42"/>
    </row>
    <row r="461" spans="1:1" x14ac:dyDescent="0.25">
      <c r="A461" s="42"/>
    </row>
    <row r="462" spans="1:1" x14ac:dyDescent="0.25">
      <c r="A462" s="42"/>
    </row>
    <row r="463" spans="1:1" x14ac:dyDescent="0.25">
      <c r="A463" s="42"/>
    </row>
    <row r="464" spans="1:1" x14ac:dyDescent="0.25">
      <c r="A464" s="42"/>
    </row>
    <row r="465" spans="1:1" x14ac:dyDescent="0.25">
      <c r="A465" s="42"/>
    </row>
    <row r="466" spans="1:1" x14ac:dyDescent="0.25">
      <c r="A466" s="42"/>
    </row>
    <row r="467" spans="1:1" x14ac:dyDescent="0.25">
      <c r="A467" s="42"/>
    </row>
    <row r="468" spans="1:1" x14ac:dyDescent="0.25">
      <c r="A468" s="42"/>
    </row>
    <row r="469" spans="1:1" x14ac:dyDescent="0.25">
      <c r="A469" s="42"/>
    </row>
    <row r="470" spans="1:1" x14ac:dyDescent="0.25">
      <c r="A470" s="42"/>
    </row>
    <row r="471" spans="1:1" x14ac:dyDescent="0.25">
      <c r="A471" s="42"/>
    </row>
    <row r="472" spans="1:1" x14ac:dyDescent="0.25">
      <c r="A472" s="42"/>
    </row>
    <row r="473" spans="1:1" x14ac:dyDescent="0.25">
      <c r="A473" s="42"/>
    </row>
    <row r="474" spans="1:1" x14ac:dyDescent="0.25">
      <c r="A474" s="42"/>
    </row>
    <row r="475" spans="1:1" x14ac:dyDescent="0.25">
      <c r="A475" s="42"/>
    </row>
    <row r="476" spans="1:1" x14ac:dyDescent="0.25">
      <c r="A476" s="42"/>
    </row>
    <row r="477" spans="1:1" x14ac:dyDescent="0.25">
      <c r="A477" s="42"/>
    </row>
    <row r="478" spans="1:1" x14ac:dyDescent="0.25">
      <c r="A478" s="42"/>
    </row>
    <row r="479" spans="1:1" x14ac:dyDescent="0.25">
      <c r="A479" s="42"/>
    </row>
    <row r="480" spans="1:1" x14ac:dyDescent="0.25">
      <c r="A480" s="42"/>
    </row>
    <row r="481" spans="1:1" x14ac:dyDescent="0.25">
      <c r="A481" s="42"/>
    </row>
    <row r="482" spans="1:1" x14ac:dyDescent="0.25">
      <c r="A482" s="42"/>
    </row>
    <row r="483" spans="1:1" x14ac:dyDescent="0.25">
      <c r="A483" s="42"/>
    </row>
    <row r="484" spans="1:1" x14ac:dyDescent="0.25">
      <c r="A484" s="42"/>
    </row>
    <row r="485" spans="1:1" x14ac:dyDescent="0.25">
      <c r="A485" s="42"/>
    </row>
    <row r="486" spans="1:1" x14ac:dyDescent="0.25">
      <c r="A486" s="42"/>
    </row>
    <row r="487" spans="1:1" x14ac:dyDescent="0.25">
      <c r="A487" s="42"/>
    </row>
    <row r="488" spans="1:1" x14ac:dyDescent="0.25">
      <c r="A488" s="42"/>
    </row>
    <row r="489" spans="1:1" x14ac:dyDescent="0.25">
      <c r="A489" s="42"/>
    </row>
    <row r="490" spans="1:1" x14ac:dyDescent="0.25">
      <c r="A490" s="42"/>
    </row>
    <row r="491" spans="1:1" x14ac:dyDescent="0.25">
      <c r="A491" s="42"/>
    </row>
    <row r="492" spans="1:1" x14ac:dyDescent="0.25">
      <c r="A492" s="42"/>
    </row>
    <row r="493" spans="1:1" x14ac:dyDescent="0.25">
      <c r="A493" s="42"/>
    </row>
    <row r="494" spans="1:1" x14ac:dyDescent="0.25">
      <c r="A494" s="42"/>
    </row>
    <row r="495" spans="1:1" x14ac:dyDescent="0.25">
      <c r="A495" s="42"/>
    </row>
    <row r="496" spans="1:1" x14ac:dyDescent="0.25">
      <c r="A496" s="42"/>
    </row>
    <row r="497" spans="1:1" x14ac:dyDescent="0.25">
      <c r="A497" s="42"/>
    </row>
    <row r="498" spans="1:1" x14ac:dyDescent="0.25">
      <c r="A498" s="42"/>
    </row>
    <row r="499" spans="1:1" x14ac:dyDescent="0.25">
      <c r="A499" s="42"/>
    </row>
    <row r="500" spans="1:1" x14ac:dyDescent="0.25">
      <c r="A500" s="42"/>
    </row>
    <row r="501" spans="1:1" x14ac:dyDescent="0.25">
      <c r="A501" s="42"/>
    </row>
    <row r="502" spans="1:1" x14ac:dyDescent="0.25">
      <c r="A502" s="42"/>
    </row>
    <row r="503" spans="1:1" x14ac:dyDescent="0.25">
      <c r="A503" s="42"/>
    </row>
    <row r="504" spans="1:1" x14ac:dyDescent="0.25">
      <c r="A504" s="42"/>
    </row>
    <row r="505" spans="1:1" x14ac:dyDescent="0.25">
      <c r="A505" s="42"/>
    </row>
    <row r="506" spans="1:1" x14ac:dyDescent="0.25">
      <c r="A506" s="42"/>
    </row>
    <row r="507" spans="1:1" x14ac:dyDescent="0.25">
      <c r="A507" s="42"/>
    </row>
    <row r="508" spans="1:1" x14ac:dyDescent="0.25">
      <c r="A508" s="42"/>
    </row>
    <row r="509" spans="1:1" x14ac:dyDescent="0.25">
      <c r="A509" s="42"/>
    </row>
    <row r="510" spans="1:1" x14ac:dyDescent="0.25">
      <c r="A510" s="42"/>
    </row>
    <row r="511" spans="1:1" x14ac:dyDescent="0.25">
      <c r="A511" s="42"/>
    </row>
    <row r="512" spans="1:1" x14ac:dyDescent="0.25">
      <c r="A512" s="42"/>
    </row>
    <row r="513" spans="1:1" x14ac:dyDescent="0.25">
      <c r="A513" s="42"/>
    </row>
    <row r="514" spans="1:1" x14ac:dyDescent="0.25">
      <c r="A514" s="42"/>
    </row>
    <row r="515" spans="1:1" x14ac:dyDescent="0.25">
      <c r="A515" s="42"/>
    </row>
    <row r="516" spans="1:1" x14ac:dyDescent="0.25">
      <c r="A516" s="42"/>
    </row>
    <row r="517" spans="1:1" x14ac:dyDescent="0.25">
      <c r="A517" s="42"/>
    </row>
    <row r="518" spans="1:1" x14ac:dyDescent="0.25">
      <c r="A518" s="42"/>
    </row>
    <row r="519" spans="1:1" x14ac:dyDescent="0.25">
      <c r="A519" s="42"/>
    </row>
    <row r="520" spans="1:1" x14ac:dyDescent="0.25">
      <c r="A520" s="42"/>
    </row>
    <row r="521" spans="1:1" x14ac:dyDescent="0.25">
      <c r="A521" s="42"/>
    </row>
    <row r="522" spans="1:1" x14ac:dyDescent="0.25">
      <c r="A522" s="42"/>
    </row>
    <row r="523" spans="1:1" x14ac:dyDescent="0.25">
      <c r="A523" s="42"/>
    </row>
    <row r="524" spans="1:1" x14ac:dyDescent="0.25">
      <c r="A524" s="42"/>
    </row>
    <row r="525" spans="1:1" x14ac:dyDescent="0.25">
      <c r="A525" s="42"/>
    </row>
    <row r="526" spans="1:1" x14ac:dyDescent="0.25">
      <c r="A526" s="42"/>
    </row>
    <row r="527" spans="1:1" x14ac:dyDescent="0.25">
      <c r="A527" s="42"/>
    </row>
    <row r="528" spans="1:1" x14ac:dyDescent="0.25">
      <c r="A528" s="42"/>
    </row>
    <row r="529" spans="1:1" x14ac:dyDescent="0.25">
      <c r="A529" s="42"/>
    </row>
    <row r="530" spans="1:1" x14ac:dyDescent="0.25">
      <c r="A530" s="42"/>
    </row>
    <row r="531" spans="1:1" x14ac:dyDescent="0.25">
      <c r="A531" s="42"/>
    </row>
    <row r="532" spans="1:1" x14ac:dyDescent="0.25">
      <c r="A532" s="42"/>
    </row>
    <row r="533" spans="1:1" x14ac:dyDescent="0.25">
      <c r="A533" s="42"/>
    </row>
    <row r="534" spans="1:1" x14ac:dyDescent="0.25">
      <c r="A534" s="42"/>
    </row>
    <row r="535" spans="1:1" x14ac:dyDescent="0.25">
      <c r="A535" s="42"/>
    </row>
    <row r="536" spans="1:1" x14ac:dyDescent="0.25">
      <c r="A536" s="42"/>
    </row>
    <row r="537" spans="1:1" x14ac:dyDescent="0.25">
      <c r="A537" s="42"/>
    </row>
    <row r="538" spans="1:1" x14ac:dyDescent="0.25">
      <c r="A538" s="42"/>
    </row>
    <row r="539" spans="1:1" x14ac:dyDescent="0.25">
      <c r="A539" s="42"/>
    </row>
    <row r="540" spans="1:1" x14ac:dyDescent="0.25">
      <c r="A540" s="42"/>
    </row>
    <row r="541" spans="1:1" x14ac:dyDescent="0.25">
      <c r="A541" s="42"/>
    </row>
    <row r="542" spans="1:1" x14ac:dyDescent="0.25">
      <c r="A542" s="42"/>
    </row>
    <row r="543" spans="1:1" x14ac:dyDescent="0.25">
      <c r="A543" s="42"/>
    </row>
    <row r="544" spans="1:1" x14ac:dyDescent="0.25">
      <c r="A544" s="42"/>
    </row>
    <row r="545" spans="1:1" x14ac:dyDescent="0.25">
      <c r="A545" s="42"/>
    </row>
    <row r="546" spans="1:1" x14ac:dyDescent="0.25">
      <c r="A546" s="42"/>
    </row>
    <row r="547" spans="1:1" x14ac:dyDescent="0.25">
      <c r="A547" s="42"/>
    </row>
    <row r="548" spans="1:1" x14ac:dyDescent="0.25">
      <c r="A548" s="42"/>
    </row>
    <row r="549" spans="1:1" x14ac:dyDescent="0.25">
      <c r="A549" s="42"/>
    </row>
    <row r="550" spans="1:1" x14ac:dyDescent="0.25">
      <c r="A550" s="42"/>
    </row>
    <row r="551" spans="1:1" x14ac:dyDescent="0.25">
      <c r="A551" s="42"/>
    </row>
    <row r="552" spans="1:1" x14ac:dyDescent="0.25">
      <c r="A552" s="42"/>
    </row>
    <row r="553" spans="1:1" x14ac:dyDescent="0.25">
      <c r="A553" s="42"/>
    </row>
    <row r="554" spans="1:1" x14ac:dyDescent="0.25">
      <c r="A554" s="42"/>
    </row>
    <row r="555" spans="1:1" x14ac:dyDescent="0.25">
      <c r="A555" s="42"/>
    </row>
    <row r="556" spans="1:1" x14ac:dyDescent="0.25">
      <c r="A556" s="42"/>
    </row>
    <row r="557" spans="1:1" x14ac:dyDescent="0.25">
      <c r="A557" s="42"/>
    </row>
    <row r="558" spans="1:1" x14ac:dyDescent="0.25">
      <c r="A558" s="42"/>
    </row>
    <row r="559" spans="1:1" x14ac:dyDescent="0.25">
      <c r="A559" s="42"/>
    </row>
    <row r="560" spans="1:1" x14ac:dyDescent="0.25">
      <c r="A560" s="42"/>
    </row>
    <row r="561" spans="1:1" x14ac:dyDescent="0.25">
      <c r="A561" s="42"/>
    </row>
    <row r="562" spans="1:1" x14ac:dyDescent="0.25">
      <c r="A562" s="42"/>
    </row>
    <row r="563" spans="1:1" x14ac:dyDescent="0.25">
      <c r="A563" s="42"/>
    </row>
    <row r="564" spans="1:1" x14ac:dyDescent="0.25">
      <c r="A564" s="42"/>
    </row>
    <row r="565" spans="1:1" x14ac:dyDescent="0.25">
      <c r="A565" s="42"/>
    </row>
    <row r="566" spans="1:1" x14ac:dyDescent="0.25">
      <c r="A566" s="42"/>
    </row>
    <row r="567" spans="1:1" x14ac:dyDescent="0.25">
      <c r="A567" s="42"/>
    </row>
    <row r="568" spans="1:1" x14ac:dyDescent="0.25">
      <c r="A568" s="42"/>
    </row>
    <row r="569" spans="1:1" x14ac:dyDescent="0.25">
      <c r="A569" s="42"/>
    </row>
    <row r="570" spans="1:1" x14ac:dyDescent="0.25">
      <c r="A570" s="42"/>
    </row>
    <row r="571" spans="1:1" x14ac:dyDescent="0.25">
      <c r="A571" s="42"/>
    </row>
    <row r="572" spans="1:1" x14ac:dyDescent="0.25">
      <c r="A572" s="42"/>
    </row>
    <row r="573" spans="1:1" x14ac:dyDescent="0.25">
      <c r="A573" s="42"/>
    </row>
    <row r="574" spans="1:1" x14ac:dyDescent="0.25">
      <c r="A574" s="42"/>
    </row>
    <row r="575" spans="1:1" x14ac:dyDescent="0.25">
      <c r="A575" s="42"/>
    </row>
    <row r="576" spans="1:1" x14ac:dyDescent="0.25">
      <c r="A576" s="42"/>
    </row>
    <row r="577" spans="1:1" x14ac:dyDescent="0.25">
      <c r="A577" s="42"/>
    </row>
    <row r="578" spans="1:1" x14ac:dyDescent="0.25">
      <c r="A578" s="42"/>
    </row>
    <row r="579" spans="1:1" x14ac:dyDescent="0.25">
      <c r="A579" s="42"/>
    </row>
    <row r="580" spans="1:1" x14ac:dyDescent="0.25">
      <c r="A580" s="42"/>
    </row>
    <row r="581" spans="1:1" x14ac:dyDescent="0.25">
      <c r="A581" s="42"/>
    </row>
    <row r="582" spans="1:1" x14ac:dyDescent="0.25">
      <c r="A582" s="42"/>
    </row>
    <row r="583" spans="1:1" x14ac:dyDescent="0.25">
      <c r="A583" s="42"/>
    </row>
    <row r="584" spans="1:1" x14ac:dyDescent="0.25">
      <c r="A584" s="42"/>
    </row>
    <row r="585" spans="1:1" x14ac:dyDescent="0.25">
      <c r="A585" s="42"/>
    </row>
    <row r="586" spans="1:1" x14ac:dyDescent="0.25">
      <c r="A586" s="42"/>
    </row>
    <row r="587" spans="1:1" x14ac:dyDescent="0.25">
      <c r="A587" s="42"/>
    </row>
    <row r="588" spans="1:1" x14ac:dyDescent="0.25">
      <c r="A588" s="42"/>
    </row>
    <row r="589" spans="1:1" x14ac:dyDescent="0.25">
      <c r="A589" s="42"/>
    </row>
    <row r="590" spans="1:1" x14ac:dyDescent="0.25">
      <c r="A590" s="42"/>
    </row>
    <row r="591" spans="1:1" x14ac:dyDescent="0.25">
      <c r="A591" s="42"/>
    </row>
    <row r="592" spans="1:1" x14ac:dyDescent="0.25">
      <c r="A592" s="42"/>
    </row>
    <row r="593" spans="1:1" x14ac:dyDescent="0.25">
      <c r="A593" s="42"/>
    </row>
    <row r="594" spans="1:1" x14ac:dyDescent="0.25">
      <c r="A594" s="42"/>
    </row>
    <row r="595" spans="1:1" x14ac:dyDescent="0.25">
      <c r="A595" s="42"/>
    </row>
    <row r="596" spans="1:1" x14ac:dyDescent="0.25">
      <c r="A596" s="42"/>
    </row>
    <row r="597" spans="1:1" x14ac:dyDescent="0.25">
      <c r="A597" s="42"/>
    </row>
    <row r="598" spans="1:1" x14ac:dyDescent="0.25">
      <c r="A598" s="42"/>
    </row>
    <row r="599" spans="1:1" x14ac:dyDescent="0.25">
      <c r="A599" s="42"/>
    </row>
    <row r="600" spans="1:1" x14ac:dyDescent="0.25">
      <c r="A600" s="42"/>
    </row>
    <row r="601" spans="1:1" x14ac:dyDescent="0.25">
      <c r="A601" s="42"/>
    </row>
    <row r="602" spans="1:1" x14ac:dyDescent="0.25">
      <c r="A602" s="42"/>
    </row>
    <row r="603" spans="1:1" x14ac:dyDescent="0.25">
      <c r="A603" s="42"/>
    </row>
    <row r="604" spans="1:1" x14ac:dyDescent="0.25">
      <c r="A604" s="42"/>
    </row>
    <row r="605" spans="1:1" x14ac:dyDescent="0.25">
      <c r="A605" s="42"/>
    </row>
    <row r="606" spans="1:1" x14ac:dyDescent="0.25">
      <c r="A606" s="42"/>
    </row>
    <row r="607" spans="1:1" x14ac:dyDescent="0.25">
      <c r="A607" s="42"/>
    </row>
    <row r="608" spans="1:1" x14ac:dyDescent="0.25">
      <c r="A608" s="42"/>
    </row>
    <row r="609" spans="1:1" x14ac:dyDescent="0.25">
      <c r="A609" s="42"/>
    </row>
    <row r="610" spans="1:1" x14ac:dyDescent="0.25">
      <c r="A610" s="42"/>
    </row>
    <row r="611" spans="1:1" x14ac:dyDescent="0.25">
      <c r="A611" s="42"/>
    </row>
    <row r="612" spans="1:1" x14ac:dyDescent="0.25">
      <c r="A612" s="42"/>
    </row>
    <row r="613" spans="1:1" x14ac:dyDescent="0.25">
      <c r="A613" s="42"/>
    </row>
    <row r="614" spans="1:1" x14ac:dyDescent="0.25">
      <c r="A614" s="42"/>
    </row>
    <row r="615" spans="1:1" x14ac:dyDescent="0.25">
      <c r="A615" s="42"/>
    </row>
    <row r="616" spans="1:1" x14ac:dyDescent="0.25">
      <c r="A616" s="42"/>
    </row>
    <row r="617" spans="1:1" x14ac:dyDescent="0.25">
      <c r="A617" s="42"/>
    </row>
    <row r="618" spans="1:1" x14ac:dyDescent="0.25">
      <c r="A618" s="42"/>
    </row>
    <row r="619" spans="1:1" x14ac:dyDescent="0.25">
      <c r="A619" s="42"/>
    </row>
    <row r="620" spans="1:1" x14ac:dyDescent="0.25">
      <c r="A620" s="42"/>
    </row>
    <row r="621" spans="1:1" x14ac:dyDescent="0.25">
      <c r="A621" s="42"/>
    </row>
    <row r="622" spans="1:1" x14ac:dyDescent="0.25">
      <c r="A622" s="42"/>
    </row>
    <row r="623" spans="1:1" x14ac:dyDescent="0.25">
      <c r="A623" s="42"/>
    </row>
    <row r="624" spans="1:1" x14ac:dyDescent="0.25">
      <c r="A624" s="42"/>
    </row>
    <row r="625" spans="1:1" x14ac:dyDescent="0.25">
      <c r="A625" s="42"/>
    </row>
    <row r="626" spans="1:1" x14ac:dyDescent="0.25">
      <c r="A626" s="42"/>
    </row>
    <row r="627" spans="1:1" x14ac:dyDescent="0.25">
      <c r="A627" s="42"/>
    </row>
    <row r="628" spans="1:1" x14ac:dyDescent="0.25">
      <c r="A628" s="42"/>
    </row>
    <row r="629" spans="1:1" x14ac:dyDescent="0.25">
      <c r="A629" s="42"/>
    </row>
    <row r="630" spans="1:1" x14ac:dyDescent="0.25">
      <c r="A630" s="42"/>
    </row>
    <row r="631" spans="1:1" x14ac:dyDescent="0.25">
      <c r="A631" s="42"/>
    </row>
    <row r="632" spans="1:1" x14ac:dyDescent="0.25">
      <c r="A632" s="42"/>
    </row>
    <row r="633" spans="1:1" x14ac:dyDescent="0.25">
      <c r="A633" s="42"/>
    </row>
    <row r="634" spans="1:1" x14ac:dyDescent="0.25">
      <c r="A634" s="42"/>
    </row>
    <row r="635" spans="1:1" x14ac:dyDescent="0.25">
      <c r="A635" s="42"/>
    </row>
    <row r="636" spans="1:1" x14ac:dyDescent="0.25">
      <c r="A636" s="42"/>
    </row>
    <row r="637" spans="1:1" x14ac:dyDescent="0.25">
      <c r="A637" s="42"/>
    </row>
    <row r="638" spans="1:1" x14ac:dyDescent="0.25">
      <c r="A638" s="42"/>
    </row>
    <row r="639" spans="1:1" x14ac:dyDescent="0.25">
      <c r="A639" s="42"/>
    </row>
    <row r="640" spans="1:1" x14ac:dyDescent="0.25">
      <c r="A640" s="42"/>
    </row>
    <row r="641" spans="1:1" x14ac:dyDescent="0.25">
      <c r="A641" s="42"/>
    </row>
    <row r="642" spans="1:1" x14ac:dyDescent="0.25">
      <c r="A642" s="42"/>
    </row>
    <row r="643" spans="1:1" x14ac:dyDescent="0.25">
      <c r="A643" s="42"/>
    </row>
    <row r="644" spans="1:1" x14ac:dyDescent="0.25">
      <c r="A644" s="42"/>
    </row>
    <row r="645" spans="1:1" x14ac:dyDescent="0.25">
      <c r="A645" s="42"/>
    </row>
    <row r="646" spans="1:1" x14ac:dyDescent="0.25">
      <c r="A646" s="42"/>
    </row>
    <row r="647" spans="1:1" x14ac:dyDescent="0.25">
      <c r="A647" s="42"/>
    </row>
    <row r="648" spans="1:1" x14ac:dyDescent="0.25">
      <c r="A648" s="42"/>
    </row>
    <row r="649" spans="1:1" x14ac:dyDescent="0.25">
      <c r="A649" s="42"/>
    </row>
    <row r="650" spans="1:1" x14ac:dyDescent="0.25">
      <c r="A650" s="42"/>
    </row>
    <row r="651" spans="1:1" x14ac:dyDescent="0.25">
      <c r="A651" s="42"/>
    </row>
    <row r="652" spans="1:1" x14ac:dyDescent="0.25">
      <c r="A652" s="42"/>
    </row>
    <row r="653" spans="1:1" x14ac:dyDescent="0.25">
      <c r="A653" s="42"/>
    </row>
    <row r="654" spans="1:1" x14ac:dyDescent="0.25">
      <c r="A654" s="42"/>
    </row>
    <row r="655" spans="1:1" x14ac:dyDescent="0.25">
      <c r="A655" s="42"/>
    </row>
    <row r="656" spans="1:1" x14ac:dyDescent="0.25">
      <c r="A656" s="42"/>
    </row>
    <row r="657" spans="1:1" x14ac:dyDescent="0.25">
      <c r="A657" s="42"/>
    </row>
    <row r="658" spans="1:1" x14ac:dyDescent="0.25">
      <c r="A658" s="42"/>
    </row>
    <row r="659" spans="1:1" x14ac:dyDescent="0.25">
      <c r="A659" s="42"/>
    </row>
    <row r="660" spans="1:1" x14ac:dyDescent="0.25">
      <c r="A660" s="42"/>
    </row>
    <row r="661" spans="1:1" x14ac:dyDescent="0.25">
      <c r="A661" s="42"/>
    </row>
    <row r="662" spans="1:1" x14ac:dyDescent="0.25">
      <c r="A662" s="42"/>
    </row>
    <row r="663" spans="1:1" x14ac:dyDescent="0.25">
      <c r="A663" s="42"/>
    </row>
    <row r="664" spans="1:1" x14ac:dyDescent="0.25">
      <c r="A664" s="42"/>
    </row>
    <row r="665" spans="1:1" x14ac:dyDescent="0.25">
      <c r="A665" s="42"/>
    </row>
    <row r="666" spans="1:1" x14ac:dyDescent="0.25">
      <c r="A666" s="42"/>
    </row>
    <row r="667" spans="1:1" x14ac:dyDescent="0.25">
      <c r="A667" s="42"/>
    </row>
    <row r="668" spans="1:1" x14ac:dyDescent="0.25">
      <c r="A668" s="42"/>
    </row>
    <row r="669" spans="1:1" x14ac:dyDescent="0.25">
      <c r="A669" s="42"/>
    </row>
    <row r="670" spans="1:1" x14ac:dyDescent="0.25">
      <c r="A670" s="42"/>
    </row>
    <row r="671" spans="1:1" x14ac:dyDescent="0.25">
      <c r="A671" s="42"/>
    </row>
    <row r="672" spans="1:1" x14ac:dyDescent="0.25">
      <c r="A672" s="42"/>
    </row>
    <row r="673" spans="1:1" x14ac:dyDescent="0.25">
      <c r="A673" s="42"/>
    </row>
    <row r="674" spans="1:1" x14ac:dyDescent="0.25">
      <c r="A674" s="42"/>
    </row>
    <row r="675" spans="1:1" x14ac:dyDescent="0.25">
      <c r="A675" s="42"/>
    </row>
    <row r="676" spans="1:1" x14ac:dyDescent="0.25">
      <c r="A676" s="42"/>
    </row>
    <row r="677" spans="1:1" x14ac:dyDescent="0.25">
      <c r="A677" s="42"/>
    </row>
    <row r="678" spans="1:1" x14ac:dyDescent="0.25">
      <c r="A678" s="42"/>
    </row>
    <row r="679" spans="1:1" x14ac:dyDescent="0.25">
      <c r="A679" s="42"/>
    </row>
    <row r="680" spans="1:1" x14ac:dyDescent="0.25">
      <c r="A680" s="42"/>
    </row>
    <row r="681" spans="1:1" x14ac:dyDescent="0.25">
      <c r="A681" s="42"/>
    </row>
    <row r="682" spans="1:1" x14ac:dyDescent="0.25">
      <c r="A682" s="42"/>
    </row>
    <row r="683" spans="1:1" x14ac:dyDescent="0.25">
      <c r="A683" s="42"/>
    </row>
    <row r="684" spans="1:1" x14ac:dyDescent="0.25">
      <c r="A684" s="42"/>
    </row>
    <row r="685" spans="1:1" x14ac:dyDescent="0.25">
      <c r="A685" s="42"/>
    </row>
    <row r="686" spans="1:1" x14ac:dyDescent="0.25">
      <c r="A686" s="42"/>
    </row>
    <row r="687" spans="1:1" x14ac:dyDescent="0.25">
      <c r="A687" s="42"/>
    </row>
    <row r="688" spans="1:1" x14ac:dyDescent="0.25">
      <c r="A688" s="42"/>
    </row>
    <row r="689" spans="1:1" x14ac:dyDescent="0.25">
      <c r="A689" s="42"/>
    </row>
    <row r="690" spans="1:1" x14ac:dyDescent="0.25">
      <c r="A690" s="42"/>
    </row>
    <row r="691" spans="1:1" x14ac:dyDescent="0.25">
      <c r="A691" s="42"/>
    </row>
    <row r="692" spans="1:1" x14ac:dyDescent="0.25">
      <c r="A692" s="42"/>
    </row>
    <row r="693" spans="1:1" x14ac:dyDescent="0.25">
      <c r="A693" s="42"/>
    </row>
    <row r="694" spans="1:1" x14ac:dyDescent="0.25">
      <c r="A694" s="42"/>
    </row>
    <row r="695" spans="1:1" x14ac:dyDescent="0.25">
      <c r="A695" s="42"/>
    </row>
    <row r="696" spans="1:1" x14ac:dyDescent="0.25">
      <c r="A696" s="42"/>
    </row>
    <row r="697" spans="1:1" x14ac:dyDescent="0.25">
      <c r="A697" s="42"/>
    </row>
    <row r="698" spans="1:1" x14ac:dyDescent="0.25">
      <c r="A698" s="42"/>
    </row>
    <row r="699" spans="1:1" x14ac:dyDescent="0.25">
      <c r="A699" s="42"/>
    </row>
    <row r="700" spans="1:1" x14ac:dyDescent="0.25">
      <c r="A700" s="42"/>
    </row>
    <row r="701" spans="1:1" x14ac:dyDescent="0.25">
      <c r="A701" s="42"/>
    </row>
    <row r="702" spans="1:1" x14ac:dyDescent="0.25">
      <c r="A702" s="42"/>
    </row>
    <row r="703" spans="1:1" x14ac:dyDescent="0.25">
      <c r="A703" s="42"/>
    </row>
    <row r="704" spans="1:1" x14ac:dyDescent="0.25">
      <c r="A704" s="42"/>
    </row>
    <row r="705" spans="1:1" x14ac:dyDescent="0.25">
      <c r="A705" s="42"/>
    </row>
    <row r="706" spans="1:1" x14ac:dyDescent="0.25">
      <c r="A706" s="42"/>
    </row>
    <row r="707" spans="1:1" x14ac:dyDescent="0.25">
      <c r="A707" s="42"/>
    </row>
    <row r="708" spans="1:1" x14ac:dyDescent="0.25">
      <c r="A708" s="42"/>
    </row>
    <row r="709" spans="1:1" x14ac:dyDescent="0.25">
      <c r="A709" s="42"/>
    </row>
    <row r="710" spans="1:1" x14ac:dyDescent="0.25">
      <c r="A710" s="42"/>
    </row>
    <row r="711" spans="1:1" x14ac:dyDescent="0.25">
      <c r="A711" s="42"/>
    </row>
    <row r="712" spans="1:1" x14ac:dyDescent="0.25">
      <c r="A712" s="42"/>
    </row>
    <row r="713" spans="1:1" x14ac:dyDescent="0.25">
      <c r="A713" s="42"/>
    </row>
    <row r="714" spans="1:1" x14ac:dyDescent="0.25">
      <c r="A714" s="42"/>
    </row>
    <row r="715" spans="1:1" x14ac:dyDescent="0.25">
      <c r="A715" s="42"/>
    </row>
    <row r="716" spans="1:1" x14ac:dyDescent="0.25">
      <c r="A716" s="42"/>
    </row>
    <row r="717" spans="1:1" x14ac:dyDescent="0.25">
      <c r="A717" s="42"/>
    </row>
    <row r="718" spans="1:1" x14ac:dyDescent="0.25">
      <c r="A718" s="42"/>
    </row>
    <row r="719" spans="1:1" x14ac:dyDescent="0.25">
      <c r="A719" s="42"/>
    </row>
    <row r="720" spans="1:1" x14ac:dyDescent="0.25">
      <c r="A720" s="42"/>
    </row>
    <row r="721" spans="1:1" x14ac:dyDescent="0.25">
      <c r="A721" s="42"/>
    </row>
    <row r="722" spans="1:1" x14ac:dyDescent="0.25">
      <c r="A722" s="42"/>
    </row>
    <row r="723" spans="1:1" x14ac:dyDescent="0.25">
      <c r="A723" s="42"/>
    </row>
    <row r="724" spans="1:1" x14ac:dyDescent="0.25">
      <c r="A724" s="42"/>
    </row>
    <row r="725" spans="1:1" x14ac:dyDescent="0.25">
      <c r="A725" s="42"/>
    </row>
    <row r="726" spans="1:1" x14ac:dyDescent="0.25">
      <c r="A726" s="42"/>
    </row>
    <row r="727" spans="1:1" x14ac:dyDescent="0.25">
      <c r="A727" s="42"/>
    </row>
    <row r="728" spans="1:1" x14ac:dyDescent="0.25">
      <c r="A728" s="42"/>
    </row>
    <row r="729" spans="1:1" x14ac:dyDescent="0.25">
      <c r="A729" s="42"/>
    </row>
    <row r="730" spans="1:1" x14ac:dyDescent="0.25">
      <c r="A730" s="42"/>
    </row>
    <row r="731" spans="1:1" x14ac:dyDescent="0.25">
      <c r="A731" s="42"/>
    </row>
    <row r="732" spans="1:1" x14ac:dyDescent="0.25">
      <c r="A732" s="42"/>
    </row>
    <row r="733" spans="1:1" x14ac:dyDescent="0.25">
      <c r="A733" s="42"/>
    </row>
    <row r="734" spans="1:1" x14ac:dyDescent="0.25">
      <c r="A734" s="42"/>
    </row>
    <row r="735" spans="1:1" x14ac:dyDescent="0.25">
      <c r="A735" s="42"/>
    </row>
    <row r="736" spans="1:1" x14ac:dyDescent="0.25">
      <c r="A736" s="42"/>
    </row>
    <row r="737" spans="1:1" x14ac:dyDescent="0.25">
      <c r="A737" s="42"/>
    </row>
    <row r="738" spans="1:1" x14ac:dyDescent="0.25">
      <c r="A738" s="42"/>
    </row>
    <row r="739" spans="1:1" x14ac:dyDescent="0.25">
      <c r="A739" s="42"/>
    </row>
    <row r="740" spans="1:1" x14ac:dyDescent="0.25">
      <c r="A740" s="42"/>
    </row>
    <row r="741" spans="1:1" x14ac:dyDescent="0.25">
      <c r="A741" s="42"/>
    </row>
    <row r="742" spans="1:1" x14ac:dyDescent="0.25">
      <c r="A742" s="42"/>
    </row>
    <row r="743" spans="1:1" x14ac:dyDescent="0.25">
      <c r="A743" s="42"/>
    </row>
    <row r="744" spans="1:1" x14ac:dyDescent="0.25">
      <c r="A744" s="42"/>
    </row>
    <row r="745" spans="1:1" x14ac:dyDescent="0.25">
      <c r="A745" s="42"/>
    </row>
    <row r="746" spans="1:1" x14ac:dyDescent="0.25">
      <c r="A746" s="42"/>
    </row>
    <row r="747" spans="1:1" x14ac:dyDescent="0.25">
      <c r="A747" s="42"/>
    </row>
    <row r="748" spans="1:1" x14ac:dyDescent="0.25">
      <c r="A748" s="42"/>
    </row>
    <row r="749" spans="1:1" x14ac:dyDescent="0.25">
      <c r="A749" s="42"/>
    </row>
    <row r="750" spans="1:1" x14ac:dyDescent="0.25">
      <c r="A750" s="42"/>
    </row>
    <row r="751" spans="1:1" x14ac:dyDescent="0.25">
      <c r="A751" s="42"/>
    </row>
    <row r="752" spans="1:1" x14ac:dyDescent="0.25">
      <c r="A752" s="42"/>
    </row>
    <row r="753" spans="1:1" x14ac:dyDescent="0.25">
      <c r="A753" s="42"/>
    </row>
    <row r="754" spans="1:1" x14ac:dyDescent="0.25">
      <c r="A754" s="42"/>
    </row>
    <row r="755" spans="1:1" x14ac:dyDescent="0.25">
      <c r="A755" s="42"/>
    </row>
    <row r="756" spans="1:1" x14ac:dyDescent="0.25">
      <c r="A756" s="42"/>
    </row>
    <row r="757" spans="1:1" x14ac:dyDescent="0.25">
      <c r="A757" s="42"/>
    </row>
    <row r="758" spans="1:1" x14ac:dyDescent="0.25">
      <c r="A758" s="42"/>
    </row>
    <row r="759" spans="1:1" x14ac:dyDescent="0.25">
      <c r="A759" s="42"/>
    </row>
    <row r="760" spans="1:1" x14ac:dyDescent="0.25">
      <c r="A760" s="42"/>
    </row>
    <row r="761" spans="1:1" x14ac:dyDescent="0.25">
      <c r="A761" s="42"/>
    </row>
    <row r="762" spans="1:1" x14ac:dyDescent="0.25">
      <c r="A762" s="42"/>
    </row>
    <row r="763" spans="1:1" x14ac:dyDescent="0.25">
      <c r="A763" s="42"/>
    </row>
    <row r="764" spans="1:1" x14ac:dyDescent="0.25">
      <c r="A764" s="42"/>
    </row>
    <row r="765" spans="1:1" x14ac:dyDescent="0.25">
      <c r="A765" s="42"/>
    </row>
    <row r="766" spans="1:1" x14ac:dyDescent="0.25">
      <c r="A766" s="42"/>
    </row>
    <row r="767" spans="1:1" x14ac:dyDescent="0.25">
      <c r="A767" s="42"/>
    </row>
    <row r="768" spans="1:1" x14ac:dyDescent="0.25">
      <c r="A768" s="42"/>
    </row>
    <row r="769" spans="1:1" x14ac:dyDescent="0.25">
      <c r="A769" s="42"/>
    </row>
    <row r="770" spans="1:1" x14ac:dyDescent="0.25">
      <c r="A770" s="42"/>
    </row>
    <row r="771" spans="1:1" x14ac:dyDescent="0.25">
      <c r="A771" s="42"/>
    </row>
    <row r="772" spans="1:1" x14ac:dyDescent="0.25">
      <c r="A772" s="42"/>
    </row>
    <row r="773" spans="1:1" x14ac:dyDescent="0.25">
      <c r="A773" s="42"/>
    </row>
    <row r="774" spans="1:1" x14ac:dyDescent="0.25">
      <c r="A774" s="42"/>
    </row>
    <row r="775" spans="1:1" x14ac:dyDescent="0.25">
      <c r="A775" s="42"/>
    </row>
    <row r="776" spans="1:1" x14ac:dyDescent="0.25">
      <c r="A776" s="42"/>
    </row>
    <row r="777" spans="1:1" x14ac:dyDescent="0.25">
      <c r="A777" s="42"/>
    </row>
    <row r="778" spans="1:1" x14ac:dyDescent="0.25">
      <c r="A778" s="42"/>
    </row>
    <row r="779" spans="1:1" x14ac:dyDescent="0.25">
      <c r="A779" s="42"/>
    </row>
    <row r="780" spans="1:1" x14ac:dyDescent="0.25">
      <c r="A780" s="42"/>
    </row>
    <row r="781" spans="1:1" x14ac:dyDescent="0.25">
      <c r="A781" s="42"/>
    </row>
    <row r="782" spans="1:1" x14ac:dyDescent="0.25">
      <c r="A782" s="42"/>
    </row>
    <row r="783" spans="1:1" x14ac:dyDescent="0.25">
      <c r="A783" s="42"/>
    </row>
    <row r="784" spans="1:1" x14ac:dyDescent="0.25">
      <c r="A784" s="42"/>
    </row>
    <row r="785" spans="1:1" x14ac:dyDescent="0.25">
      <c r="A785" s="42"/>
    </row>
    <row r="786" spans="1:1" x14ac:dyDescent="0.25">
      <c r="A786" s="42"/>
    </row>
    <row r="787" spans="1:1" x14ac:dyDescent="0.25">
      <c r="A787" s="42"/>
    </row>
    <row r="788" spans="1:1" x14ac:dyDescent="0.25">
      <c r="A788" s="42"/>
    </row>
    <row r="789" spans="1:1" x14ac:dyDescent="0.25">
      <c r="A789" s="42"/>
    </row>
    <row r="790" spans="1:1" x14ac:dyDescent="0.25">
      <c r="A790" s="42"/>
    </row>
    <row r="791" spans="1:1" x14ac:dyDescent="0.25">
      <c r="A791" s="42"/>
    </row>
    <row r="792" spans="1:1" x14ac:dyDescent="0.25">
      <c r="A792" s="42"/>
    </row>
    <row r="793" spans="1:1" x14ac:dyDescent="0.25">
      <c r="A793" s="42"/>
    </row>
    <row r="794" spans="1:1" x14ac:dyDescent="0.25">
      <c r="A794" s="42"/>
    </row>
    <row r="795" spans="1:1" x14ac:dyDescent="0.25">
      <c r="A795" s="42"/>
    </row>
    <row r="796" spans="1:1" x14ac:dyDescent="0.25">
      <c r="A796" s="42"/>
    </row>
    <row r="797" spans="1:1" x14ac:dyDescent="0.25">
      <c r="A797" s="42"/>
    </row>
    <row r="798" spans="1:1" x14ac:dyDescent="0.25">
      <c r="A798" s="42"/>
    </row>
    <row r="799" spans="1:1" x14ac:dyDescent="0.25">
      <c r="A799" s="42"/>
    </row>
    <row r="800" spans="1:1" x14ac:dyDescent="0.25">
      <c r="A800" s="42"/>
    </row>
    <row r="801" spans="1:1" x14ac:dyDescent="0.25">
      <c r="A801" s="42"/>
    </row>
    <row r="802" spans="1:1" x14ac:dyDescent="0.25">
      <c r="A802" s="42"/>
    </row>
    <row r="803" spans="1:1" x14ac:dyDescent="0.25">
      <c r="A803" s="42"/>
    </row>
    <row r="804" spans="1:1" x14ac:dyDescent="0.25">
      <c r="A804" s="42"/>
    </row>
    <row r="805" spans="1:1" x14ac:dyDescent="0.25">
      <c r="A805" s="42"/>
    </row>
    <row r="806" spans="1:1" x14ac:dyDescent="0.25">
      <c r="A806" s="42"/>
    </row>
    <row r="807" spans="1:1" x14ac:dyDescent="0.25">
      <c r="A807" s="42"/>
    </row>
    <row r="808" spans="1:1" x14ac:dyDescent="0.25">
      <c r="A808" s="42"/>
    </row>
    <row r="809" spans="1:1" x14ac:dyDescent="0.25">
      <c r="A809" s="42"/>
    </row>
    <row r="810" spans="1:1" x14ac:dyDescent="0.25">
      <c r="A810" s="42"/>
    </row>
    <row r="811" spans="1:1" x14ac:dyDescent="0.25">
      <c r="A811" s="42"/>
    </row>
    <row r="812" spans="1:1" x14ac:dyDescent="0.25">
      <c r="A812" s="42"/>
    </row>
    <row r="813" spans="1:1" x14ac:dyDescent="0.25">
      <c r="A813" s="42"/>
    </row>
    <row r="814" spans="1:1" x14ac:dyDescent="0.25">
      <c r="A814" s="42"/>
    </row>
    <row r="815" spans="1:1" x14ac:dyDescent="0.25">
      <c r="A815" s="42"/>
    </row>
    <row r="816" spans="1:1" x14ac:dyDescent="0.25">
      <c r="A816" s="42"/>
    </row>
    <row r="817" spans="1:1" x14ac:dyDescent="0.25">
      <c r="A817" s="42"/>
    </row>
    <row r="818" spans="1:1" x14ac:dyDescent="0.25">
      <c r="A818" s="42"/>
    </row>
    <row r="819" spans="1:1" x14ac:dyDescent="0.25">
      <c r="A819" s="42"/>
    </row>
    <row r="820" spans="1:1" x14ac:dyDescent="0.25">
      <c r="A820" s="42"/>
    </row>
    <row r="821" spans="1:1" x14ac:dyDescent="0.25">
      <c r="A821" s="42"/>
    </row>
    <row r="822" spans="1:1" x14ac:dyDescent="0.25">
      <c r="A822" s="42"/>
    </row>
    <row r="823" spans="1:1" x14ac:dyDescent="0.25">
      <c r="A823" s="42"/>
    </row>
    <row r="824" spans="1:1" x14ac:dyDescent="0.25">
      <c r="A824" s="42"/>
    </row>
    <row r="825" spans="1:1" x14ac:dyDescent="0.25">
      <c r="A825" s="42"/>
    </row>
    <row r="826" spans="1:1" x14ac:dyDescent="0.25">
      <c r="A826" s="42"/>
    </row>
    <row r="827" spans="1:1" x14ac:dyDescent="0.25">
      <c r="A827" s="42"/>
    </row>
    <row r="828" spans="1:1" x14ac:dyDescent="0.25">
      <c r="A828" s="42"/>
    </row>
    <row r="829" spans="1:1" x14ac:dyDescent="0.25">
      <c r="A829" s="42"/>
    </row>
    <row r="830" spans="1:1" x14ac:dyDescent="0.25">
      <c r="A830" s="42"/>
    </row>
    <row r="831" spans="1:1" x14ac:dyDescent="0.25">
      <c r="A831" s="42"/>
    </row>
    <row r="832" spans="1:1" x14ac:dyDescent="0.25">
      <c r="A832" s="42"/>
    </row>
    <row r="833" spans="1:1" x14ac:dyDescent="0.25">
      <c r="A833" s="42"/>
    </row>
    <row r="834" spans="1:1" x14ac:dyDescent="0.25">
      <c r="A834" s="42"/>
    </row>
    <row r="835" spans="1:1" x14ac:dyDescent="0.25">
      <c r="A835" s="42"/>
    </row>
    <row r="836" spans="1:1" x14ac:dyDescent="0.25">
      <c r="A836" s="42"/>
    </row>
    <row r="837" spans="1:1" x14ac:dyDescent="0.25">
      <c r="A837" s="42"/>
    </row>
    <row r="838" spans="1:1" x14ac:dyDescent="0.25">
      <c r="A838" s="42"/>
    </row>
    <row r="839" spans="1:1" x14ac:dyDescent="0.25">
      <c r="A839" s="42"/>
    </row>
    <row r="840" spans="1:1" x14ac:dyDescent="0.25">
      <c r="A840" s="42"/>
    </row>
    <row r="841" spans="1:1" x14ac:dyDescent="0.25">
      <c r="A841" s="42"/>
    </row>
    <row r="842" spans="1:1" x14ac:dyDescent="0.25">
      <c r="A842" s="42"/>
    </row>
    <row r="843" spans="1:1" x14ac:dyDescent="0.25">
      <c r="A843" s="42"/>
    </row>
    <row r="844" spans="1:1" x14ac:dyDescent="0.25">
      <c r="A844" s="42"/>
    </row>
    <row r="845" spans="1:1" x14ac:dyDescent="0.25">
      <c r="A845" s="42"/>
    </row>
    <row r="846" spans="1:1" x14ac:dyDescent="0.25">
      <c r="A846" s="42"/>
    </row>
    <row r="847" spans="1:1" x14ac:dyDescent="0.25">
      <c r="A847" s="42"/>
    </row>
    <row r="848" spans="1:1" x14ac:dyDescent="0.25">
      <c r="A848" s="42"/>
    </row>
    <row r="849" spans="1:1" x14ac:dyDescent="0.25">
      <c r="A849" s="42"/>
    </row>
    <row r="850" spans="1:1" x14ac:dyDescent="0.25">
      <c r="A850" s="42"/>
    </row>
    <row r="851" spans="1:1" x14ac:dyDescent="0.25">
      <c r="A851" s="42"/>
    </row>
    <row r="852" spans="1:1" x14ac:dyDescent="0.25">
      <c r="A852" s="42"/>
    </row>
    <row r="853" spans="1:1" x14ac:dyDescent="0.25">
      <c r="A853" s="42"/>
    </row>
    <row r="854" spans="1:1" x14ac:dyDescent="0.25">
      <c r="A854" s="42"/>
    </row>
    <row r="855" spans="1:1" x14ac:dyDescent="0.25">
      <c r="A855" s="42"/>
    </row>
    <row r="856" spans="1:1" x14ac:dyDescent="0.25">
      <c r="A856" s="42"/>
    </row>
    <row r="857" spans="1:1" x14ac:dyDescent="0.25">
      <c r="A857" s="42"/>
    </row>
    <row r="858" spans="1:1" x14ac:dyDescent="0.25">
      <c r="A858" s="42"/>
    </row>
    <row r="859" spans="1:1" x14ac:dyDescent="0.25">
      <c r="A859" s="42"/>
    </row>
    <row r="860" spans="1:1" x14ac:dyDescent="0.25">
      <c r="A860" s="42"/>
    </row>
    <row r="861" spans="1:1" x14ac:dyDescent="0.25">
      <c r="A861" s="42"/>
    </row>
    <row r="862" spans="1:1" x14ac:dyDescent="0.25">
      <c r="A862" s="42"/>
    </row>
    <row r="863" spans="1:1" x14ac:dyDescent="0.25">
      <c r="A863" s="42"/>
    </row>
    <row r="864" spans="1:1" x14ac:dyDescent="0.25">
      <c r="A864" s="42"/>
    </row>
    <row r="865" spans="1:1" x14ac:dyDescent="0.25">
      <c r="A865" s="42"/>
    </row>
    <row r="866" spans="1:1" x14ac:dyDescent="0.25">
      <c r="A866" s="42"/>
    </row>
    <row r="867" spans="1:1" x14ac:dyDescent="0.25">
      <c r="A867" s="42"/>
    </row>
    <row r="868" spans="1:1" x14ac:dyDescent="0.25">
      <c r="A868" s="42"/>
    </row>
    <row r="869" spans="1:1" x14ac:dyDescent="0.25">
      <c r="A869" s="42"/>
    </row>
    <row r="870" spans="1:1" x14ac:dyDescent="0.25">
      <c r="A870" s="42"/>
    </row>
    <row r="871" spans="1:1" x14ac:dyDescent="0.25">
      <c r="A871" s="42"/>
    </row>
    <row r="872" spans="1:1" x14ac:dyDescent="0.25">
      <c r="A872" s="42"/>
    </row>
    <row r="873" spans="1:1" x14ac:dyDescent="0.25">
      <c r="A873" s="42"/>
    </row>
    <row r="874" spans="1:1" x14ac:dyDescent="0.25">
      <c r="A874" s="42"/>
    </row>
    <row r="875" spans="1:1" x14ac:dyDescent="0.25">
      <c r="A875" s="42"/>
    </row>
    <row r="876" spans="1:1" x14ac:dyDescent="0.25">
      <c r="A876" s="42"/>
    </row>
    <row r="877" spans="1:1" x14ac:dyDescent="0.25">
      <c r="A877" s="42"/>
    </row>
    <row r="878" spans="1:1" x14ac:dyDescent="0.25">
      <c r="A878" s="42"/>
    </row>
    <row r="879" spans="1:1" x14ac:dyDescent="0.25">
      <c r="A879" s="42"/>
    </row>
    <row r="880" spans="1:1" x14ac:dyDescent="0.25">
      <c r="A880" s="42"/>
    </row>
    <row r="881" spans="1:1" x14ac:dyDescent="0.25">
      <c r="A881" s="42"/>
    </row>
    <row r="882" spans="1:1" x14ac:dyDescent="0.25">
      <c r="A882" s="42"/>
    </row>
    <row r="883" spans="1:1" x14ac:dyDescent="0.25">
      <c r="A883" s="42"/>
    </row>
    <row r="884" spans="1:1" x14ac:dyDescent="0.25">
      <c r="A884" s="42"/>
    </row>
    <row r="885" spans="1:1" x14ac:dyDescent="0.25">
      <c r="A885" s="42"/>
    </row>
    <row r="886" spans="1:1" x14ac:dyDescent="0.25">
      <c r="A886" s="42"/>
    </row>
    <row r="887" spans="1:1" x14ac:dyDescent="0.25">
      <c r="A887" s="42"/>
    </row>
    <row r="888" spans="1:1" x14ac:dyDescent="0.25">
      <c r="A888" s="42"/>
    </row>
    <row r="889" spans="1:1" x14ac:dyDescent="0.25">
      <c r="A889" s="42"/>
    </row>
    <row r="890" spans="1:1" x14ac:dyDescent="0.25">
      <c r="A890" s="16"/>
    </row>
  </sheetData>
  <mergeCells count="9">
    <mergeCell ref="A1:I1"/>
    <mergeCell ref="A2:I2"/>
    <mergeCell ref="A3:I3"/>
    <mergeCell ref="A6:A7"/>
    <mergeCell ref="B6:B7"/>
    <mergeCell ref="C6:C7"/>
    <mergeCell ref="F6:G6"/>
    <mergeCell ref="H6:I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opLeftCell="A3" workbookViewId="0">
      <selection activeCell="K9" sqref="K9"/>
    </sheetView>
  </sheetViews>
  <sheetFormatPr defaultRowHeight="15" x14ac:dyDescent="0.25"/>
  <cols>
    <col min="11" max="11" width="16.28515625" style="8" customWidth="1"/>
    <col min="12" max="12" width="17.5703125" style="8" customWidth="1"/>
    <col min="13" max="13" width="14.85546875" style="8" customWidth="1"/>
    <col min="14" max="14" width="12" customWidth="1"/>
  </cols>
  <sheetData>
    <row r="1" spans="1:14" x14ac:dyDescent="0.25">
      <c r="A1" s="147" t="s">
        <v>291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9"/>
    </row>
    <row r="2" spans="1:14" x14ac:dyDescent="0.25">
      <c r="A2" s="150" t="s">
        <v>249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</row>
    <row r="3" spans="1:14" ht="15.75" thickBot="1" x14ac:dyDescent="0.3">
      <c r="A3" s="153" t="s">
        <v>218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5"/>
    </row>
    <row r="4" spans="1:14" x14ac:dyDescent="0.25">
      <c r="A4" s="60"/>
      <c r="B4" s="61"/>
      <c r="C4" s="61"/>
      <c r="D4" s="61"/>
      <c r="E4" s="61"/>
      <c r="F4" s="61"/>
      <c r="G4" s="61"/>
      <c r="H4" s="61"/>
      <c r="I4" s="61"/>
      <c r="J4" s="61"/>
      <c r="K4" s="124"/>
      <c r="L4" s="124"/>
      <c r="M4" s="124"/>
      <c r="N4" s="62"/>
    </row>
    <row r="5" spans="1:14" x14ac:dyDescent="0.25">
      <c r="A5" s="63">
        <v>40000</v>
      </c>
      <c r="B5" s="64" t="s">
        <v>219</v>
      </c>
      <c r="C5" s="42"/>
      <c r="D5" s="42"/>
      <c r="E5" s="42"/>
      <c r="F5" s="42"/>
      <c r="G5" s="42"/>
      <c r="H5" s="42"/>
      <c r="I5" s="42"/>
      <c r="J5" s="42"/>
      <c r="K5" s="125"/>
      <c r="L5" s="125"/>
      <c r="M5" s="125"/>
      <c r="N5" s="65"/>
    </row>
    <row r="6" spans="1:14" x14ac:dyDescent="0.25">
      <c r="A6" s="66">
        <v>41000</v>
      </c>
      <c r="B6" s="42"/>
      <c r="C6" s="42" t="s">
        <v>220</v>
      </c>
      <c r="D6" s="42"/>
      <c r="E6" s="42"/>
      <c r="F6" s="42"/>
      <c r="G6" s="42"/>
      <c r="H6" s="42"/>
      <c r="I6" s="42"/>
      <c r="J6" s="42"/>
      <c r="K6" s="126"/>
      <c r="L6" s="126">
        <f ca="1">VLOOKUP(A6,'NERACA SALDO'!$A$8:$I$53,9,FALSE)</f>
        <v>142385000</v>
      </c>
      <c r="M6" s="126"/>
      <c r="N6" s="65"/>
    </row>
    <row r="7" spans="1:14" x14ac:dyDescent="0.25">
      <c r="A7" s="66">
        <v>42000</v>
      </c>
      <c r="B7" s="42"/>
      <c r="C7" s="42"/>
      <c r="D7" s="42" t="s">
        <v>221</v>
      </c>
      <c r="E7" s="42"/>
      <c r="F7" s="42"/>
      <c r="G7" s="42"/>
      <c r="H7" s="42"/>
      <c r="I7" s="42"/>
      <c r="J7" s="42"/>
      <c r="K7" s="126">
        <f ca="1">VLOOKUP(A7,'NERACA SALDO'!$A$8:$I$53,8,FALSE)</f>
        <v>2125000</v>
      </c>
      <c r="L7" s="126"/>
      <c r="M7" s="126"/>
      <c r="N7" s="65"/>
    </row>
    <row r="8" spans="1:14" x14ac:dyDescent="0.25">
      <c r="A8" s="66">
        <v>43000</v>
      </c>
      <c r="B8" s="42"/>
      <c r="C8" s="42"/>
      <c r="D8" s="42" t="s">
        <v>222</v>
      </c>
      <c r="E8" s="42"/>
      <c r="F8" s="42"/>
      <c r="G8" s="42"/>
      <c r="H8" s="42"/>
      <c r="I8" s="42"/>
      <c r="J8" s="42"/>
      <c r="K8" s="126">
        <f ca="1">VLOOKUP(A8,'NERACA SALDO'!$A$8:$I$53,8,FALSE)</f>
        <v>3022500</v>
      </c>
      <c r="L8" s="126"/>
      <c r="M8" s="126"/>
      <c r="N8" s="65"/>
    </row>
    <row r="9" spans="1:14" ht="15.75" thickBot="1" x14ac:dyDescent="0.3">
      <c r="A9" s="66"/>
      <c r="B9" s="42"/>
      <c r="C9" s="64" t="s">
        <v>223</v>
      </c>
      <c r="D9" s="64"/>
      <c r="E9" s="64"/>
      <c r="F9" s="64"/>
      <c r="G9" s="64"/>
      <c r="H9" s="42"/>
      <c r="I9" s="42"/>
      <c r="J9" s="42"/>
      <c r="K9" s="126"/>
      <c r="L9" s="128">
        <f ca="1">SUM(K7:K8)</f>
        <v>5147500</v>
      </c>
      <c r="M9" s="129"/>
      <c r="N9" s="65"/>
    </row>
    <row r="10" spans="1:14" ht="15.75" thickTop="1" x14ac:dyDescent="0.25">
      <c r="A10" s="66"/>
      <c r="B10" s="42"/>
      <c r="C10" s="64"/>
      <c r="D10" s="64" t="s">
        <v>46</v>
      </c>
      <c r="E10" s="64"/>
      <c r="F10" s="64"/>
      <c r="G10" s="64"/>
      <c r="H10" s="42"/>
      <c r="I10" s="42"/>
      <c r="J10" s="42"/>
      <c r="K10" s="126"/>
      <c r="L10" s="129">
        <f ca="1">L6-L9</f>
        <v>137237500</v>
      </c>
      <c r="M10" s="129"/>
      <c r="N10" s="65"/>
    </row>
    <row r="11" spans="1:14" x14ac:dyDescent="0.25">
      <c r="A11" s="66"/>
      <c r="B11" s="42"/>
      <c r="C11" s="42"/>
      <c r="D11" s="42"/>
      <c r="E11" s="42"/>
      <c r="F11" s="42"/>
      <c r="G11" s="42"/>
      <c r="H11" s="42"/>
      <c r="I11" s="42"/>
      <c r="J11" s="42"/>
      <c r="K11" s="126"/>
      <c r="L11" s="129"/>
      <c r="M11" s="129"/>
      <c r="N11" s="65"/>
    </row>
    <row r="12" spans="1:14" x14ac:dyDescent="0.25">
      <c r="A12" s="63">
        <v>50000</v>
      </c>
      <c r="B12" s="64" t="s">
        <v>224</v>
      </c>
      <c r="C12" s="42"/>
      <c r="D12" s="42"/>
      <c r="E12" s="42"/>
      <c r="F12" s="42"/>
      <c r="G12" s="42"/>
      <c r="H12" s="42"/>
      <c r="I12" s="42"/>
      <c r="J12" s="67"/>
      <c r="K12" s="126"/>
      <c r="L12" s="129"/>
      <c r="M12" s="129"/>
      <c r="N12" s="65"/>
    </row>
    <row r="13" spans="1:14" x14ac:dyDescent="0.25">
      <c r="A13" s="66">
        <v>51000</v>
      </c>
      <c r="B13" s="42"/>
      <c r="C13" s="42" t="s">
        <v>224</v>
      </c>
      <c r="D13" s="42"/>
      <c r="E13" s="42"/>
      <c r="F13" s="42"/>
      <c r="G13" s="42"/>
      <c r="H13" s="42"/>
      <c r="I13" s="42"/>
      <c r="J13" s="42"/>
      <c r="K13" s="126">
        <f ca="1">VLOOKUP(A13,'NERACA SALDO'!$A$8:$I$53,8,FALSE)</f>
        <v>116340000</v>
      </c>
      <c r="L13" s="129"/>
      <c r="M13" s="129"/>
      <c r="N13" s="65"/>
    </row>
    <row r="14" spans="1:14" ht="15.75" thickBot="1" x14ac:dyDescent="0.3">
      <c r="A14" s="66"/>
      <c r="B14" s="42"/>
      <c r="C14" s="64" t="s">
        <v>225</v>
      </c>
      <c r="D14" s="64"/>
      <c r="E14" s="42"/>
      <c r="F14" s="42"/>
      <c r="G14" s="42"/>
      <c r="H14" s="42"/>
      <c r="I14" s="42"/>
      <c r="J14" s="42"/>
      <c r="K14" s="126"/>
      <c r="L14" s="128">
        <f ca="1">SUM(K13)</f>
        <v>116340000</v>
      </c>
      <c r="M14" s="129"/>
      <c r="N14" s="65"/>
    </row>
    <row r="15" spans="1:14" ht="15.75" thickTop="1" x14ac:dyDescent="0.25">
      <c r="A15" s="66"/>
      <c r="B15" s="42"/>
      <c r="C15" s="64"/>
      <c r="D15" s="64" t="s">
        <v>226</v>
      </c>
      <c r="E15" s="42"/>
      <c r="F15" s="42"/>
      <c r="G15" s="42"/>
      <c r="H15" s="42"/>
      <c r="I15" s="42"/>
      <c r="J15" s="42"/>
      <c r="K15" s="126"/>
      <c r="L15" s="129"/>
      <c r="M15" s="129">
        <f ca="1">L10-L14</f>
        <v>20897500</v>
      </c>
      <c r="N15" s="65"/>
    </row>
    <row r="16" spans="1:14" x14ac:dyDescent="0.25">
      <c r="A16" s="66"/>
      <c r="B16" s="42"/>
      <c r="C16" s="42"/>
      <c r="D16" s="42"/>
      <c r="E16" s="42"/>
      <c r="F16" s="42"/>
      <c r="G16" s="42"/>
      <c r="H16" s="42"/>
      <c r="I16" s="42"/>
      <c r="J16" s="42"/>
      <c r="K16" s="126"/>
      <c r="L16" s="129"/>
      <c r="M16" s="129"/>
      <c r="N16" s="65"/>
    </row>
    <row r="17" spans="1:14" x14ac:dyDescent="0.25">
      <c r="A17" s="63">
        <v>60000</v>
      </c>
      <c r="B17" s="64" t="s">
        <v>227</v>
      </c>
      <c r="C17" s="42"/>
      <c r="D17" s="42"/>
      <c r="E17" s="42"/>
      <c r="F17" s="42"/>
      <c r="G17" s="42"/>
      <c r="H17" s="42"/>
      <c r="I17" s="42"/>
      <c r="J17" s="42"/>
      <c r="K17" s="126"/>
      <c r="L17" s="129"/>
      <c r="M17" s="129"/>
      <c r="N17" s="65"/>
    </row>
    <row r="18" spans="1:14" x14ac:dyDescent="0.25">
      <c r="A18" s="66">
        <v>61001</v>
      </c>
      <c r="B18" s="42"/>
      <c r="C18" s="42" t="s">
        <v>228</v>
      </c>
      <c r="D18" s="42"/>
      <c r="E18" s="42"/>
      <c r="F18" s="42"/>
      <c r="G18" s="42"/>
      <c r="H18" s="42"/>
      <c r="I18" s="42"/>
      <c r="J18" s="42"/>
      <c r="K18" s="126">
        <f ca="1">VLOOKUP(A18,'NERACA SALDO'!$A$8:$I$53,8,FALSE)</f>
        <v>14500000</v>
      </c>
      <c r="L18" s="129"/>
      <c r="M18" s="129"/>
      <c r="N18" s="65"/>
    </row>
    <row r="19" spans="1:14" x14ac:dyDescent="0.25">
      <c r="A19" s="66">
        <v>61002</v>
      </c>
      <c r="B19" s="42"/>
      <c r="C19" s="42" t="s">
        <v>229</v>
      </c>
      <c r="D19" s="42"/>
      <c r="E19" s="42"/>
      <c r="F19" s="42"/>
      <c r="G19" s="42"/>
      <c r="H19" s="42"/>
      <c r="I19" s="42"/>
      <c r="J19" s="42"/>
      <c r="K19" s="126">
        <f ca="1">VLOOKUP(A19,'NERACA SALDO'!$A$8:$I$53,8,FALSE)</f>
        <v>2500000</v>
      </c>
      <c r="L19" s="129"/>
      <c r="M19" s="129"/>
      <c r="N19" s="65"/>
    </row>
    <row r="20" spans="1:14" x14ac:dyDescent="0.25">
      <c r="A20" s="66">
        <v>61003</v>
      </c>
      <c r="B20" s="42"/>
      <c r="C20" s="42" t="s">
        <v>230</v>
      </c>
      <c r="D20" s="42"/>
      <c r="E20" s="42"/>
      <c r="F20" s="42"/>
      <c r="G20" s="42"/>
      <c r="H20" s="42"/>
      <c r="I20" s="42"/>
      <c r="J20" s="42"/>
      <c r="K20" s="126">
        <f ca="1">VLOOKUP(A20,'NERACA SALDO'!$A$8:$I$53,8,FALSE)</f>
        <v>2901750</v>
      </c>
      <c r="L20" s="129"/>
      <c r="M20" s="129"/>
      <c r="N20" s="65"/>
    </row>
    <row r="21" spans="1:14" x14ac:dyDescent="0.25">
      <c r="A21" s="66">
        <v>61004</v>
      </c>
      <c r="B21" s="42"/>
      <c r="C21" s="42" t="s">
        <v>56</v>
      </c>
      <c r="D21" s="42"/>
      <c r="E21" s="42"/>
      <c r="F21" s="42"/>
      <c r="G21" s="42"/>
      <c r="H21" s="42"/>
      <c r="I21" s="42"/>
      <c r="J21" s="42"/>
      <c r="K21" s="126">
        <f ca="1">VLOOKUP(A21,'NERACA SALDO'!$A$8:$I$53,8,FALSE)</f>
        <v>175000</v>
      </c>
      <c r="L21" s="129"/>
      <c r="M21" s="129"/>
      <c r="N21" s="65"/>
    </row>
    <row r="22" spans="1:14" x14ac:dyDescent="0.25">
      <c r="A22" s="66">
        <v>61005</v>
      </c>
      <c r="B22" s="42"/>
      <c r="C22" s="42" t="s">
        <v>57</v>
      </c>
      <c r="D22" s="42"/>
      <c r="E22" s="42"/>
      <c r="F22" s="42"/>
      <c r="G22" s="42"/>
      <c r="H22" s="42"/>
      <c r="I22" s="42"/>
      <c r="J22" s="42"/>
      <c r="K22" s="126">
        <f ca="1">VLOOKUP(A22,'NERACA SALDO'!$A$8:$I$53,8,FALSE)</f>
        <v>212500</v>
      </c>
      <c r="L22" s="129"/>
      <c r="M22" s="129"/>
      <c r="N22" s="65"/>
    </row>
    <row r="23" spans="1:14" x14ac:dyDescent="0.25">
      <c r="A23" s="66">
        <v>61006</v>
      </c>
      <c r="B23" s="42"/>
      <c r="C23" s="42" t="s">
        <v>231</v>
      </c>
      <c r="D23" s="42"/>
      <c r="E23" s="42"/>
      <c r="F23" s="42"/>
      <c r="G23" s="42"/>
      <c r="H23" s="42"/>
      <c r="I23" s="42"/>
      <c r="J23" s="42"/>
      <c r="K23" s="126">
        <f ca="1">VLOOKUP(A23,'NERACA SALDO'!$A$8:$I$53,8,FALSE)</f>
        <v>400000</v>
      </c>
      <c r="L23" s="129"/>
      <c r="M23" s="129"/>
      <c r="N23" s="65"/>
    </row>
    <row r="24" spans="1:14" x14ac:dyDescent="0.25">
      <c r="A24" s="66">
        <v>61007</v>
      </c>
      <c r="B24" s="42"/>
      <c r="C24" s="42" t="s">
        <v>232</v>
      </c>
      <c r="D24" s="42"/>
      <c r="E24" s="42"/>
      <c r="F24" s="42"/>
      <c r="G24" s="42"/>
      <c r="H24" s="42"/>
      <c r="I24" s="42"/>
      <c r="J24" s="42"/>
      <c r="K24" s="126">
        <f ca="1">VLOOKUP(A24,'NERACA SALDO'!$A$8:$I$53,8,FALSE)</f>
        <v>500000</v>
      </c>
      <c r="L24" s="129"/>
      <c r="M24" s="129"/>
      <c r="N24" s="65"/>
    </row>
    <row r="25" spans="1:14" x14ac:dyDescent="0.25">
      <c r="A25" s="66">
        <v>61008</v>
      </c>
      <c r="B25" s="42"/>
      <c r="C25" s="42" t="s">
        <v>233</v>
      </c>
      <c r="D25" s="42"/>
      <c r="E25" s="42"/>
      <c r="F25" s="42"/>
      <c r="G25" s="42"/>
      <c r="H25" s="42"/>
      <c r="I25" s="42"/>
      <c r="J25" s="42"/>
      <c r="K25" s="126">
        <f ca="1">VLOOKUP(A25,'NERACA SALDO'!$A$8:$I$53,8,FALSE)</f>
        <v>750000</v>
      </c>
      <c r="L25" s="129"/>
      <c r="M25" s="129"/>
      <c r="N25" s="65"/>
    </row>
    <row r="26" spans="1:14" x14ac:dyDescent="0.25">
      <c r="A26" s="66">
        <v>61009</v>
      </c>
      <c r="B26" s="42"/>
      <c r="C26" s="42" t="s">
        <v>234</v>
      </c>
      <c r="D26" s="42"/>
      <c r="E26" s="42"/>
      <c r="F26" s="42"/>
      <c r="G26" s="42"/>
      <c r="H26" s="42"/>
      <c r="I26" s="42"/>
      <c r="J26" s="42"/>
      <c r="K26" s="126">
        <f ca="1">VLOOKUP(A26,'NERACA SALDO'!$A$8:$I$53,8,FALSE)</f>
        <v>250000</v>
      </c>
      <c r="L26" s="129"/>
      <c r="M26" s="129"/>
      <c r="N26" s="65"/>
    </row>
    <row r="27" spans="1:14" x14ac:dyDescent="0.25">
      <c r="A27" s="66">
        <v>61010</v>
      </c>
      <c r="B27" s="42"/>
      <c r="C27" s="42" t="s">
        <v>62</v>
      </c>
      <c r="D27" s="42"/>
      <c r="E27" s="42"/>
      <c r="F27" s="42"/>
      <c r="G27" s="42"/>
      <c r="H27" s="42"/>
      <c r="I27" s="42"/>
      <c r="J27" s="42"/>
      <c r="K27" s="126">
        <f ca="1">VLOOKUP(A27,'NERACA SALDO'!$A$8:$I$53,8,FALSE)</f>
        <v>200000</v>
      </c>
      <c r="L27" s="129"/>
      <c r="M27" s="129"/>
      <c r="N27" s="65"/>
    </row>
    <row r="28" spans="1:14" x14ac:dyDescent="0.25">
      <c r="A28" s="66">
        <v>61011</v>
      </c>
      <c r="B28" s="42"/>
      <c r="C28" s="42" t="s">
        <v>235</v>
      </c>
      <c r="D28" s="42"/>
      <c r="E28" s="42"/>
      <c r="F28" s="42"/>
      <c r="G28" s="42"/>
      <c r="H28" s="42"/>
      <c r="I28" s="42"/>
      <c r="J28" s="42"/>
      <c r="K28" s="126">
        <f ca="1">VLOOKUP(A28,'NERACA SALDO'!$A$8:$I$53,8,FALSE)</f>
        <v>50000</v>
      </c>
      <c r="L28" s="129"/>
      <c r="M28" s="129"/>
      <c r="N28" s="65"/>
    </row>
    <row r="29" spans="1:14" x14ac:dyDescent="0.25">
      <c r="A29" s="66">
        <v>61099</v>
      </c>
      <c r="B29" s="42"/>
      <c r="C29" s="42" t="s">
        <v>236</v>
      </c>
      <c r="D29" s="42"/>
      <c r="E29" s="42"/>
      <c r="F29" s="42"/>
      <c r="G29" s="42"/>
      <c r="H29" s="42"/>
      <c r="I29" s="42"/>
      <c r="J29" s="42"/>
      <c r="K29" s="126">
        <f ca="1">VLOOKUP(A29,'NERACA SALDO'!$A$8:$I$53,8,FALSE)</f>
        <v>0</v>
      </c>
      <c r="L29" s="129"/>
      <c r="M29" s="129"/>
      <c r="N29" s="65"/>
    </row>
    <row r="30" spans="1:14" ht="15.75" thickBot="1" x14ac:dyDescent="0.3">
      <c r="A30" s="66"/>
      <c r="B30" s="42"/>
      <c r="C30" s="68" t="s">
        <v>237</v>
      </c>
      <c r="D30" s="64"/>
      <c r="E30" s="42"/>
      <c r="F30" s="42"/>
      <c r="G30" s="42"/>
      <c r="H30" s="42"/>
      <c r="I30" s="42"/>
      <c r="J30" s="42"/>
      <c r="K30" s="126"/>
      <c r="L30" s="129"/>
      <c r="M30" s="128">
        <f ca="1">SUM(K18:K29)</f>
        <v>22439250</v>
      </c>
      <c r="N30" s="65"/>
    </row>
    <row r="31" spans="1:14" ht="15.75" thickTop="1" x14ac:dyDescent="0.25">
      <c r="A31" s="66"/>
      <c r="B31" s="42"/>
      <c r="C31" s="64"/>
      <c r="D31" s="64" t="s">
        <v>238</v>
      </c>
      <c r="E31" s="42"/>
      <c r="F31" s="42"/>
      <c r="G31" s="42"/>
      <c r="H31" s="42"/>
      <c r="I31" s="42"/>
      <c r="J31" s="42"/>
      <c r="K31" s="126"/>
      <c r="L31" s="129"/>
      <c r="M31" s="129">
        <f ca="1">M15-M30</f>
        <v>-1541750</v>
      </c>
      <c r="N31" s="65"/>
    </row>
    <row r="32" spans="1:14" x14ac:dyDescent="0.25">
      <c r="A32" s="66"/>
      <c r="B32" s="42"/>
      <c r="C32" s="42"/>
      <c r="D32" s="42"/>
      <c r="E32" s="42"/>
      <c r="F32" s="42"/>
      <c r="G32" s="42"/>
      <c r="H32" s="42"/>
      <c r="I32" s="42"/>
      <c r="J32" s="42"/>
      <c r="K32" s="126"/>
      <c r="L32" s="129"/>
      <c r="M32" s="129"/>
      <c r="N32" s="65"/>
    </row>
    <row r="33" spans="1:14" x14ac:dyDescent="0.25">
      <c r="A33" s="66"/>
      <c r="B33" s="64" t="s">
        <v>239</v>
      </c>
      <c r="C33" s="42"/>
      <c r="D33" s="42"/>
      <c r="E33" s="42"/>
      <c r="F33" s="42"/>
      <c r="G33" s="42"/>
      <c r="H33" s="42"/>
      <c r="I33" s="42"/>
      <c r="J33" s="42"/>
      <c r="K33" s="126"/>
      <c r="L33" s="129"/>
      <c r="M33" s="129"/>
      <c r="N33" s="65"/>
    </row>
    <row r="34" spans="1:14" x14ac:dyDescent="0.25">
      <c r="A34" s="63">
        <v>80000</v>
      </c>
      <c r="B34" s="42"/>
      <c r="C34" s="69" t="s">
        <v>240</v>
      </c>
      <c r="D34" s="42"/>
      <c r="E34" s="42"/>
      <c r="F34" s="42"/>
      <c r="G34" s="42"/>
      <c r="H34" s="42"/>
      <c r="I34" s="42"/>
      <c r="J34" s="42"/>
      <c r="K34" s="126"/>
      <c r="L34" s="129"/>
      <c r="M34" s="129"/>
      <c r="N34" s="65"/>
    </row>
    <row r="35" spans="1:14" x14ac:dyDescent="0.25">
      <c r="A35" s="66">
        <v>81001</v>
      </c>
      <c r="B35" s="42"/>
      <c r="C35" s="42" t="s">
        <v>241</v>
      </c>
      <c r="D35" s="42"/>
      <c r="E35" s="42"/>
      <c r="F35" s="42"/>
      <c r="G35" s="42"/>
      <c r="H35" s="42"/>
      <c r="I35" s="42"/>
      <c r="J35" s="42"/>
      <c r="K35" s="126">
        <f ca="1">VLOOKUP(A35,'NERACA SALDO'!$A$8:$I$53,9,FALSE)</f>
        <v>1000000</v>
      </c>
      <c r="L35" s="130"/>
      <c r="M35" s="129"/>
      <c r="N35" s="65"/>
    </row>
    <row r="36" spans="1:14" x14ac:dyDescent="0.25">
      <c r="A36" s="66">
        <v>81002</v>
      </c>
      <c r="B36" s="42"/>
      <c r="C36" s="70" t="s">
        <v>242</v>
      </c>
      <c r="D36" s="64"/>
      <c r="E36" s="42"/>
      <c r="F36" s="42"/>
      <c r="G36" s="42"/>
      <c r="H36" s="42"/>
      <c r="I36" s="42"/>
      <c r="J36" s="42"/>
      <c r="K36" s="126">
        <f ca="1">VLOOKUP(A36,'NERACA SALDO'!$A$8:$I$53,9,FALSE)</f>
        <v>1350000</v>
      </c>
      <c r="L36" s="130"/>
      <c r="M36" s="129"/>
      <c r="N36" s="65"/>
    </row>
    <row r="37" spans="1:14" x14ac:dyDescent="0.25">
      <c r="A37" s="66"/>
      <c r="B37" s="42"/>
      <c r="C37" s="64"/>
      <c r="D37" s="64" t="s">
        <v>243</v>
      </c>
      <c r="E37" s="42"/>
      <c r="F37" s="42"/>
      <c r="G37" s="42"/>
      <c r="H37" s="42"/>
      <c r="I37" s="42"/>
      <c r="J37" s="42"/>
      <c r="K37" s="126"/>
      <c r="L37" s="129">
        <f ca="1">SUM(K35:K36)</f>
        <v>2350000</v>
      </c>
      <c r="M37" s="129"/>
      <c r="N37" s="65"/>
    </row>
    <row r="38" spans="1:14" x14ac:dyDescent="0.25">
      <c r="A38" s="66"/>
      <c r="B38" s="42"/>
      <c r="C38" s="42"/>
      <c r="D38" s="42"/>
      <c r="E38" s="42"/>
      <c r="F38" s="42"/>
      <c r="G38" s="42"/>
      <c r="H38" s="42"/>
      <c r="I38" s="42"/>
      <c r="J38" s="42"/>
      <c r="K38" s="126"/>
      <c r="L38" s="129"/>
      <c r="M38" s="129"/>
      <c r="N38" s="65"/>
    </row>
    <row r="39" spans="1:14" x14ac:dyDescent="0.25">
      <c r="A39" s="63">
        <v>90000</v>
      </c>
      <c r="B39" s="42"/>
      <c r="C39" s="69" t="s">
        <v>244</v>
      </c>
      <c r="D39" s="42"/>
      <c r="E39" s="42"/>
      <c r="F39" s="42"/>
      <c r="G39" s="42"/>
      <c r="H39" s="42"/>
      <c r="I39" s="42"/>
      <c r="J39" s="42"/>
      <c r="K39" s="126"/>
      <c r="L39" s="129"/>
      <c r="M39" s="129"/>
      <c r="N39" s="65"/>
    </row>
    <row r="40" spans="1:14" x14ac:dyDescent="0.25">
      <c r="A40" s="66">
        <v>91001</v>
      </c>
      <c r="B40" s="42"/>
      <c r="C40" s="42" t="s">
        <v>69</v>
      </c>
      <c r="D40" s="42"/>
      <c r="E40" s="42"/>
      <c r="F40" s="42"/>
      <c r="G40" s="42"/>
      <c r="H40" s="42"/>
      <c r="I40" s="42"/>
      <c r="J40" s="42"/>
      <c r="K40" s="126">
        <f ca="1">VLOOKUP(A40,'NERACA SALDO'!$A$8:$I$53,8,FALSE)</f>
        <v>150000</v>
      </c>
      <c r="L40" s="129"/>
      <c r="M40" s="129"/>
      <c r="N40" s="65"/>
    </row>
    <row r="41" spans="1:14" x14ac:dyDescent="0.25">
      <c r="A41" s="66">
        <v>91002</v>
      </c>
      <c r="B41" s="42"/>
      <c r="C41" s="42" t="s">
        <v>245</v>
      </c>
      <c r="D41" s="42"/>
      <c r="E41" s="42"/>
      <c r="F41" s="42"/>
      <c r="G41" s="42"/>
      <c r="H41" s="42"/>
      <c r="I41" s="42"/>
      <c r="J41" s="42"/>
      <c r="K41" s="126">
        <f ca="1">VLOOKUP(A41,'NERACA SALDO'!$A$8:$I$53,8,FALSE)</f>
        <v>1500000</v>
      </c>
      <c r="L41" s="129"/>
      <c r="M41" s="129"/>
      <c r="N41" s="65"/>
    </row>
    <row r="42" spans="1:14" ht="15.75" thickBot="1" x14ac:dyDescent="0.3">
      <c r="A42" s="71"/>
      <c r="B42" s="42"/>
      <c r="C42" s="42"/>
      <c r="D42" s="64" t="s">
        <v>246</v>
      </c>
      <c r="E42" s="64"/>
      <c r="F42" s="42"/>
      <c r="G42" s="42"/>
      <c r="H42" s="42"/>
      <c r="I42" s="42"/>
      <c r="J42" s="42"/>
      <c r="K42" s="126"/>
      <c r="L42" s="128">
        <f ca="1">SUM(K40:K41)</f>
        <v>1650000</v>
      </c>
      <c r="M42" s="129"/>
      <c r="N42" s="65"/>
    </row>
    <row r="43" spans="1:14" ht="16.5" thickTop="1" thickBot="1" x14ac:dyDescent="0.3">
      <c r="A43" s="71"/>
      <c r="B43" s="42"/>
      <c r="C43" s="42"/>
      <c r="D43" s="64"/>
      <c r="E43" s="64" t="s">
        <v>247</v>
      </c>
      <c r="F43" s="42"/>
      <c r="G43" s="42"/>
      <c r="H43" s="42"/>
      <c r="I43" s="42"/>
      <c r="J43" s="42"/>
      <c r="K43" s="126"/>
      <c r="L43" s="129"/>
      <c r="M43" s="128">
        <f ca="1">L37-L42</f>
        <v>700000</v>
      </c>
      <c r="N43" s="65"/>
    </row>
    <row r="44" spans="1:14" ht="15.75" thickTop="1" x14ac:dyDescent="0.25">
      <c r="A44" s="71"/>
      <c r="B44" s="42"/>
      <c r="C44" s="42"/>
      <c r="D44" s="42"/>
      <c r="E44" s="42"/>
      <c r="F44" s="42"/>
      <c r="G44" s="42"/>
      <c r="H44" s="42"/>
      <c r="I44" s="42"/>
      <c r="J44" s="42"/>
      <c r="K44" s="125"/>
      <c r="L44" s="130"/>
      <c r="M44" s="130"/>
      <c r="N44" s="65"/>
    </row>
    <row r="45" spans="1:14" ht="15.75" thickBot="1" x14ac:dyDescent="0.3">
      <c r="A45" s="72"/>
      <c r="B45" s="73"/>
      <c r="C45" s="73"/>
      <c r="D45" s="73"/>
      <c r="E45" s="73"/>
      <c r="F45" s="74" t="s">
        <v>248</v>
      </c>
      <c r="G45" s="73"/>
      <c r="H45" s="73"/>
      <c r="I45" s="73"/>
      <c r="J45" s="73"/>
      <c r="K45" s="127"/>
      <c r="L45" s="131"/>
      <c r="M45" s="131">
        <f ca="1">M31+M43</f>
        <v>-841750</v>
      </c>
      <c r="N45" s="75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M6" sqref="M6"/>
    </sheetView>
  </sheetViews>
  <sheetFormatPr defaultRowHeight="15" x14ac:dyDescent="0.25"/>
  <cols>
    <col min="8" max="8" width="16.5703125" style="8" customWidth="1"/>
    <col min="9" max="9" width="17" style="8" customWidth="1"/>
  </cols>
  <sheetData>
    <row r="1" spans="1:10" ht="15.75" thickBot="1" x14ac:dyDescent="0.3"/>
    <row r="2" spans="1:10" x14ac:dyDescent="0.25">
      <c r="A2" s="147" t="s">
        <v>291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x14ac:dyDescent="0.25">
      <c r="A3" s="150" t="s">
        <v>250</v>
      </c>
      <c r="B3" s="151"/>
      <c r="C3" s="151"/>
      <c r="D3" s="151"/>
      <c r="E3" s="151"/>
      <c r="F3" s="151"/>
      <c r="G3" s="151"/>
      <c r="H3" s="151"/>
      <c r="I3" s="151"/>
      <c r="J3" s="152"/>
    </row>
    <row r="4" spans="1:10" ht="15.75" thickBot="1" x14ac:dyDescent="0.3">
      <c r="A4" s="153" t="s">
        <v>251</v>
      </c>
      <c r="B4" s="154"/>
      <c r="C4" s="154"/>
      <c r="D4" s="154"/>
      <c r="E4" s="154"/>
      <c r="F4" s="154"/>
      <c r="G4" s="154"/>
      <c r="H4" s="154"/>
      <c r="I4" s="154"/>
      <c r="J4" s="155"/>
    </row>
    <row r="5" spans="1:10" x14ac:dyDescent="0.25">
      <c r="A5" s="60"/>
      <c r="B5" s="61"/>
      <c r="C5" s="61"/>
      <c r="D5" s="61"/>
      <c r="E5" s="61"/>
      <c r="F5" s="61"/>
      <c r="G5" s="61"/>
      <c r="H5" s="124"/>
      <c r="I5" s="124"/>
      <c r="J5" s="62"/>
    </row>
    <row r="6" spans="1:10" x14ac:dyDescent="0.25">
      <c r="A6" s="71"/>
      <c r="B6" s="64" t="s">
        <v>252</v>
      </c>
      <c r="C6" s="42"/>
      <c r="D6" s="42"/>
      <c r="E6" s="42"/>
      <c r="F6" s="42"/>
      <c r="G6" s="42"/>
      <c r="H6" s="125"/>
      <c r="I6" s="125"/>
      <c r="J6" s="65"/>
    </row>
    <row r="7" spans="1:10" x14ac:dyDescent="0.25">
      <c r="A7" s="71"/>
      <c r="B7" s="77">
        <v>32000</v>
      </c>
      <c r="C7" s="42" t="s">
        <v>253</v>
      </c>
      <c r="D7" s="42"/>
      <c r="E7" s="42"/>
      <c r="F7" s="42"/>
      <c r="G7" s="42"/>
      <c r="H7" s="126">
        <f ca="1">VLOOKUP(B7,'NERACA SALDO'!$A$8:$I$53,9,FALSE)</f>
        <v>24630000</v>
      </c>
      <c r="I7" s="125"/>
      <c r="J7" s="65"/>
    </row>
    <row r="8" spans="1:10" x14ac:dyDescent="0.25">
      <c r="A8" s="71"/>
      <c r="B8" s="42"/>
      <c r="C8" s="42"/>
      <c r="D8" s="42"/>
      <c r="E8" s="42"/>
      <c r="F8" s="42"/>
      <c r="G8" s="42"/>
      <c r="H8" s="132"/>
      <c r="I8" s="125"/>
      <c r="J8" s="65"/>
    </row>
    <row r="9" spans="1:10" x14ac:dyDescent="0.25">
      <c r="A9" s="71"/>
      <c r="B9" s="42" t="s">
        <v>254</v>
      </c>
      <c r="C9" s="42"/>
      <c r="D9" s="42"/>
      <c r="E9" s="42"/>
      <c r="F9" s="42"/>
      <c r="G9" s="42"/>
      <c r="H9" s="132"/>
      <c r="I9" s="125"/>
      <c r="J9" s="65"/>
    </row>
    <row r="10" spans="1:10" x14ac:dyDescent="0.25">
      <c r="A10" s="71"/>
      <c r="B10" s="42"/>
      <c r="C10" s="42" t="s">
        <v>248</v>
      </c>
      <c r="D10" s="42"/>
      <c r="E10" s="42"/>
      <c r="F10" s="42"/>
      <c r="G10" s="42"/>
      <c r="H10" s="132">
        <v>-841750</v>
      </c>
      <c r="I10" s="125"/>
      <c r="J10" s="65"/>
    </row>
    <row r="11" spans="1:10" x14ac:dyDescent="0.25">
      <c r="A11" s="71"/>
      <c r="B11" s="42"/>
      <c r="C11" s="42"/>
      <c r="D11" s="42"/>
      <c r="E11" s="42"/>
      <c r="F11" s="42"/>
      <c r="G11" s="42"/>
      <c r="H11" s="125"/>
      <c r="I11" s="125"/>
      <c r="J11" s="65"/>
    </row>
    <row r="12" spans="1:10" ht="15.75" thickBot="1" x14ac:dyDescent="0.3">
      <c r="A12" s="85"/>
      <c r="B12" s="87" t="s">
        <v>255</v>
      </c>
      <c r="C12" s="86"/>
      <c r="D12" s="86"/>
      <c r="E12" s="86"/>
      <c r="F12" s="86"/>
      <c r="G12" s="86"/>
      <c r="H12" s="133"/>
      <c r="I12" s="134">
        <f ca="1">H7+H10</f>
        <v>23788250</v>
      </c>
      <c r="J12" s="88"/>
    </row>
  </sheetData>
  <mergeCells count="3"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MASTER AKUN</vt:lpstr>
      <vt:lpstr>JURNAL UMUM</vt:lpstr>
      <vt:lpstr> BB PIUTANG</vt:lpstr>
      <vt:lpstr>BB HUTANG</vt:lpstr>
      <vt:lpstr>BB PERSEDIAAN</vt:lpstr>
      <vt:lpstr>BUKU BESAR</vt:lpstr>
      <vt:lpstr>NERACA SALDO</vt:lpstr>
      <vt:lpstr>LLR</vt:lpstr>
      <vt:lpstr>LAP.PERUBAHAN LABA DITAHAN</vt:lpstr>
      <vt:lpstr>LPK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2021-01-17T06:28:04Z</cp:lastPrinted>
  <dcterms:created xsi:type="dcterms:W3CDTF">2020-12-18T06:54:30Z</dcterms:created>
  <dcterms:modified xsi:type="dcterms:W3CDTF">2021-02-02T02:35:52Z</dcterms:modified>
</cp:coreProperties>
</file>